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15" yWindow="65491" windowWidth="14145" windowHeight="15195" tabRatio="930" activeTab="7"/>
  </bookViews>
  <sheets>
    <sheet name="deviz general" sheetId="1" r:id="rId1"/>
    <sheet name="01-amenajare  incinta " sheetId="2" r:id="rId2"/>
    <sheet name="02-alimentare cu apa" sheetId="3" r:id="rId3"/>
    <sheet name="03-canalizare menajera" sheetId="4" r:id="rId4"/>
    <sheet name="04-CANALIZARE PLUVIALA" sheetId="5" r:id="rId5"/>
    <sheet name="05-ALIMENTARE CU EN. ELECTR." sheetId="6" r:id="rId6"/>
    <sheet name="06-ALIMENTARE CU GAZ" sheetId="7" r:id="rId7"/>
    <sheet name="07-CLADIRE" sheetId="8" r:id="rId8"/>
    <sheet name="Esalonare" sheetId="9" r:id="rId9"/>
  </sheets>
  <definedNames>
    <definedName name="_xlnm.Print_Area" localSheetId="1">'01-amenajare  incinta '!$A$1:$H$32</definedName>
    <definedName name="_xlnm.Print_Area" localSheetId="2">'02-alimentare cu apa'!$A$1:$H$32</definedName>
    <definedName name="_xlnm.Print_Area" localSheetId="5">'05-ALIMENTARE CU EN. ELECTR.'!$A$1:$H$32</definedName>
    <definedName name="_xlnm.Print_Area" localSheetId="6">'06-ALIMENTARE CU GAZ'!$A$1:$H$32</definedName>
    <definedName name="_xlnm.Print_Area" localSheetId="7">'07-CLADIRE'!$A$1:$H$46</definedName>
    <definedName name="_xlnm.Print_Area" localSheetId="0">'deviz general'!$A$1:$I$86</definedName>
  </definedNames>
  <calcPr fullCalcOnLoad="1"/>
</workbook>
</file>

<file path=xl/sharedStrings.xml><?xml version="1.0" encoding="utf-8"?>
<sst xmlns="http://schemas.openxmlformats.org/spreadsheetml/2006/main" count="418" uniqueCount="199">
  <si>
    <t>EURO</t>
  </si>
  <si>
    <t>Instalatii electrice</t>
  </si>
  <si>
    <t>Instalatii sanitare</t>
  </si>
  <si>
    <t>Dotari</t>
  </si>
  <si>
    <t>I. LUCRARI DE CONSTRUCTII SI INSTALATII</t>
  </si>
  <si>
    <t>Terasamente</t>
  </si>
  <si>
    <t>Izolatii</t>
  </si>
  <si>
    <t>Instalatii de telecomunicatii</t>
  </si>
  <si>
    <t>II. MONTAJ</t>
  </si>
  <si>
    <t>Montaj utilaje si echipamente tehnologice</t>
  </si>
  <si>
    <t>III. PROCURARE</t>
  </si>
  <si>
    <t>Utilaje si echipamente tehnologice</t>
  </si>
  <si>
    <t>Utilaje si echipamente de transport</t>
  </si>
  <si>
    <t>TOTAL I + TOTAL II + TOTAL III (fara TVA)</t>
  </si>
  <si>
    <t>DEVIZ PE OBIECT</t>
  </si>
  <si>
    <t>Curs EUR</t>
  </si>
  <si>
    <t>Amenajarea terenului</t>
  </si>
  <si>
    <t>Total cap. 1</t>
  </si>
  <si>
    <t>Total cap. 4</t>
  </si>
  <si>
    <t>Alte cheltuieli</t>
  </si>
  <si>
    <t>Total cap. 5</t>
  </si>
  <si>
    <t>TOTAL GENERAL</t>
  </si>
  <si>
    <t>6.1.</t>
  </si>
  <si>
    <t>Pregătirea personalului de exploatare</t>
  </si>
  <si>
    <t>6.2.</t>
  </si>
  <si>
    <t>Total cap. 6</t>
  </si>
  <si>
    <t>din care: C+M</t>
  </si>
  <si>
    <t>P A R T E A  II -A</t>
  </si>
  <si>
    <t>Valoarea rămasă actualizată a mijloacelor fixe existente incluse în cadrul obiectivului de investiţie</t>
  </si>
  <si>
    <t>P A R T E A  III -A</t>
  </si>
  <si>
    <t>Fondul de rulment necesar pentru primul ciclu de producţie</t>
  </si>
  <si>
    <t>RON</t>
  </si>
  <si>
    <t xml:space="preserve">Obiectul   01: AMENAJARE ACCESE INCINTA,PLATFORME TEHNICE,PARCAJE </t>
  </si>
  <si>
    <t>Obiectul   02: ALIMENTARE CU APA (RETELE IN INCINTA)</t>
  </si>
  <si>
    <t>Obiectul  03: CANALIZARE MENAJERA</t>
  </si>
  <si>
    <t>Obiectul   04: CANALIZARE PLUVIALA</t>
  </si>
  <si>
    <t>Obiectul   05: ALIMENTARE CU ENERGIE ELECTRICA</t>
  </si>
  <si>
    <t>Obiectul  06: ALIMENTARE CU GAZ</t>
  </si>
  <si>
    <t xml:space="preserve">Nr. </t>
  </si>
  <si>
    <t>Denumirea capitolelor de cheltuieli</t>
  </si>
  <si>
    <t>crt.</t>
  </si>
  <si>
    <t>P A R T E A  I - A</t>
  </si>
  <si>
    <t>Capitolul 1</t>
  </si>
  <si>
    <t>Cheltuieli pentru obţinerea şi amenajarea terenului</t>
  </si>
  <si>
    <t>1.1.</t>
  </si>
  <si>
    <t>Obţinerea terenului</t>
  </si>
  <si>
    <t>1.2.</t>
  </si>
  <si>
    <t>1.2.1 - Accese carosabile, parcaje, trotuare</t>
  </si>
  <si>
    <t>1.2.2 - Sistematizare verticală</t>
  </si>
  <si>
    <t>1.3.</t>
  </si>
  <si>
    <t>1.3.1 - Plantaţii spaţii verzi</t>
  </si>
  <si>
    <t>Capitolul 2</t>
  </si>
  <si>
    <t>Cheltuieli pentru asigurarea utilităţilor necesare obiectivului</t>
  </si>
  <si>
    <t>2.1.</t>
  </si>
  <si>
    <t>Construcţii şi instalaţii</t>
  </si>
  <si>
    <t>2.1.1 - Alimentare cu apă</t>
  </si>
  <si>
    <t>2.1.2 - Canalizare menajeră</t>
  </si>
  <si>
    <t>2.2.</t>
  </si>
  <si>
    <t>Utilaje şi echipamente tehnologice</t>
  </si>
  <si>
    <t>Alimentare cu gaze naturale</t>
  </si>
  <si>
    <t>Alimentare cu energie electrică</t>
  </si>
  <si>
    <t>Total cap. 2</t>
  </si>
  <si>
    <t>Capitolul 3</t>
  </si>
  <si>
    <t>Cheltuieli pentru proiectare şi asistenţă tehnică</t>
  </si>
  <si>
    <t>3.1.</t>
  </si>
  <si>
    <t>3.2.</t>
  </si>
  <si>
    <t>3.3.</t>
  </si>
  <si>
    <t>3.4.</t>
  </si>
  <si>
    <t>Organizarea procedurilor de achiziţie publică</t>
  </si>
  <si>
    <t>3.5.</t>
  </si>
  <si>
    <t>3.6.</t>
  </si>
  <si>
    <t>Total cap. 3</t>
  </si>
  <si>
    <t>Capitolul 4</t>
  </si>
  <si>
    <t>Cheltuieli pentru investiţia de bază</t>
  </si>
  <si>
    <t>4.1.</t>
  </si>
  <si>
    <t>4.2.</t>
  </si>
  <si>
    <t>4.3.</t>
  </si>
  <si>
    <t>Utilaje, echipamente tehnologice şi funcţionale cu montaj</t>
  </si>
  <si>
    <t>4.4.</t>
  </si>
  <si>
    <t>Utilaje fără montaj şi echipamente de transport</t>
  </si>
  <si>
    <t>4.5.</t>
  </si>
  <si>
    <t>Dotări</t>
  </si>
  <si>
    <t>Capitolul 5</t>
  </si>
  <si>
    <t>5.1.</t>
  </si>
  <si>
    <t>5.2.</t>
  </si>
  <si>
    <t>5.2.1 - Taxa pentru Inspectia de stat 0,8%</t>
  </si>
  <si>
    <t>5.2.2 - Taxa pentru casa sociala a constructorului 0,5%</t>
  </si>
  <si>
    <t>5.3.</t>
  </si>
  <si>
    <t>Capitolul 6</t>
  </si>
  <si>
    <t>2.1.4 - Alimentare cu gaze naturale</t>
  </si>
  <si>
    <t>2.1.5- Alimentare cu energie electrică</t>
  </si>
  <si>
    <t>2.1.3-  Canalizare pluviala</t>
  </si>
  <si>
    <t>4.6.</t>
  </si>
  <si>
    <t xml:space="preserve">Valoare (fara TVA) </t>
  </si>
  <si>
    <t>TVA</t>
  </si>
  <si>
    <t xml:space="preserve">Valoare (inclusiv TVA) </t>
  </si>
  <si>
    <t>Taxe pentru obţinere avize, acorduri, autorizaţii</t>
  </si>
  <si>
    <t>Studii de teren: topo, geo</t>
  </si>
  <si>
    <t>Proiectare şi inginerie</t>
  </si>
  <si>
    <t>Consultanţă</t>
  </si>
  <si>
    <t>Asistenţă tehnică</t>
  </si>
  <si>
    <t>Montaj utilaje tehnologice</t>
  </si>
  <si>
    <t>Active necorporale</t>
  </si>
  <si>
    <t>Comisioane, taxe, cote, costul creditului</t>
  </si>
  <si>
    <t>Cheltuieli pentru probe tehnologice şi teste şi predare la beneficiar</t>
  </si>
  <si>
    <t>Probe tehnologice şi teste</t>
  </si>
  <si>
    <t>Constructii: rezistenţă şi arhitectură</t>
  </si>
  <si>
    <t>Instalatii de incalzire, ventilatie, climatizare, PSI, intranet</t>
  </si>
  <si>
    <t>Instalatii de alimentare cu gaze naturale</t>
  </si>
  <si>
    <t>Total I</t>
  </si>
  <si>
    <t>Total II</t>
  </si>
  <si>
    <t>Total III</t>
  </si>
  <si>
    <t>Constructii: conducte şi cămine</t>
  </si>
  <si>
    <t>Constructii: arhitectura şi rezistenţă</t>
  </si>
  <si>
    <t>Amenajări pentru protecţia mediului şi aducerea la starea iniţiala</t>
  </si>
  <si>
    <t>terasamente</t>
  </si>
  <si>
    <t>alei pietonale</t>
  </si>
  <si>
    <t>conducte</t>
  </si>
  <si>
    <t>camine</t>
  </si>
  <si>
    <t>dotari</t>
  </si>
  <si>
    <t>chiuvete</t>
  </si>
  <si>
    <t>toalete</t>
  </si>
  <si>
    <t>pisoare</t>
  </si>
  <si>
    <t>euro/buc</t>
  </si>
  <si>
    <t>TOTAL</t>
  </si>
  <si>
    <t>teava</t>
  </si>
  <si>
    <t>Teu egal 90</t>
  </si>
  <si>
    <t>Fiting tranzitie</t>
  </si>
  <si>
    <t>pret unitar</t>
  </si>
  <si>
    <t>dimensiune</t>
  </si>
  <si>
    <t>total</t>
  </si>
  <si>
    <t xml:space="preserve">LES AL armat 3x35+25mmp  510m - 3 tronsoane </t>
  </si>
  <si>
    <t>40800 RON</t>
  </si>
  <si>
    <t>Firide racord – 2buc.</t>
  </si>
  <si>
    <t xml:space="preserve">   2500RON</t>
  </si>
  <si>
    <t xml:space="preserve">Tablouri de distribuţie </t>
  </si>
  <si>
    <t xml:space="preserve">   6600RON</t>
  </si>
  <si>
    <t>Instalaţii de iluminat şi prize</t>
  </si>
  <si>
    <t>15000 RON</t>
  </si>
  <si>
    <t>Gard electric de contur -700m şi protejare copaci - 900m</t>
  </si>
  <si>
    <t>48000 RON</t>
  </si>
  <si>
    <t>Instalaţii de alimentare gard electric  şi supraveghere</t>
  </si>
  <si>
    <t xml:space="preserve">  6000 RON</t>
  </si>
  <si>
    <t xml:space="preserve">Total </t>
  </si>
  <si>
    <t xml:space="preserve">          153 900RON</t>
  </si>
  <si>
    <t>mc</t>
  </si>
  <si>
    <t>mp</t>
  </si>
  <si>
    <t>suprastructura arhitectura</t>
  </si>
  <si>
    <t>infrastructura</t>
  </si>
  <si>
    <t>tipul de investitie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</si>
  <si>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</si>
  <si>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</si>
  <si>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</si>
  <si>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</si>
  <si>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</si>
  <si>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</si>
  <si>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</si>
  <si>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</si>
  <si>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</si>
  <si>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</si>
  <si>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</si>
  <si>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</si>
  <si>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luna</t>
  </si>
  <si>
    <t>EŞALONAREA COSTURILOR COROBORATĂ CU GRAFICUL DE REALIZARE A INVESTIŢIEI</t>
  </si>
  <si>
    <t>suprastructura rezistenta</t>
  </si>
  <si>
    <t>instalatii</t>
  </si>
  <si>
    <t>amenajari exterioare</t>
  </si>
  <si>
    <t>TOTAL (RON)</t>
  </si>
  <si>
    <t>alte costuri (taxe si comisioane)</t>
  </si>
  <si>
    <t>Denumirea lucrarii: "Reamenajarea si modernizarea Gradinii Zoo, Tg. Mures"</t>
  </si>
  <si>
    <t>Obiectul  07: CLADIRI</t>
  </si>
  <si>
    <t>Denumirea lucrarii: ''REAMENAJAREA SI MODERNIZAREA GRADINII ZOO, TG. MURES"</t>
  </si>
  <si>
    <t>TERASAMENTE</t>
  </si>
  <si>
    <t>Împrejmuire padoc păsări de baltă</t>
  </si>
  <si>
    <t>Împrejmuire padoc elefanţi şi girafe</t>
  </si>
  <si>
    <t>Împrejmuire padoc urşi</t>
  </si>
  <si>
    <t>Împrejmuire padoc feline mici</t>
  </si>
  <si>
    <t>Instalatii de sanitare, incalzire, ventilatie, climatizare, PSI</t>
  </si>
  <si>
    <t>CLĂDIRE ELEFANŢI ŞI GIRAFE</t>
  </si>
  <si>
    <t>CLĂDIRE FELINE MICI</t>
  </si>
  <si>
    <t>CLĂDIRE PĂSĂRI DE BALTĂ</t>
  </si>
  <si>
    <t>Organizare de şantier 1,0%</t>
  </si>
  <si>
    <t>DEVIZ GENERAL ACTUALIZAT</t>
  </si>
  <si>
    <t>PRIMAR</t>
  </si>
  <si>
    <t>DR. DORIN FLOREA</t>
  </si>
  <si>
    <t>APROBAT</t>
  </si>
  <si>
    <t>PROIECTANT</t>
  </si>
  <si>
    <t>arh. Adrian Turcu</t>
  </si>
  <si>
    <t>în RON/EURO la cursul RON/EURO: 4,2294 lei, din data de 23.06.2011</t>
  </si>
  <si>
    <t>CLĂDIRI URSI</t>
  </si>
  <si>
    <t>CLĂDIRE ERBIVORE</t>
  </si>
  <si>
    <t>4.1.1 - Cladire pasari de balta</t>
  </si>
  <si>
    <t>Împrejmuire padoc erbivore</t>
  </si>
  <si>
    <t>4.1.2 - Cladire elefanti si girafe</t>
  </si>
  <si>
    <t>4.1.3 - Cladire feline mici</t>
  </si>
  <si>
    <t>4.1.4 - Cladire ursi</t>
  </si>
  <si>
    <t>4.1.5 - Cladire erbivore</t>
  </si>
  <si>
    <t>ANEXA 1</t>
  </si>
  <si>
    <t>Cheltuieli diverse şi neprevăzute 3%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</si>
</sst>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"/>
    <numFmt numFmtId="174" formatCode="#,##0.0"/>
    <numFmt numFmtId="175" formatCode="0.0000"/>
    <numFmt numFmtId="176" formatCode="#,##0.0000"/>
    <numFmt numFmtId="177" formatCode="[$-418]d\ mmmm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49" fontId="0" fillId="0" borderId="10" xfId="0" applyNumberForma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5" fontId="0" fillId="0" borderId="18" xfId="0" applyNumberFormat="1" applyBorder="1" applyAlignment="1">
      <alignment/>
    </xf>
    <xf numFmtId="0" fontId="7" fillId="0" borderId="19" xfId="0" applyFont="1" applyBorder="1" applyAlignment="1">
      <alignment vertical="center"/>
    </xf>
    <xf numFmtId="0" fontId="6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0" fontId="2" fillId="0" borderId="22" xfId="0" applyFont="1" applyBorder="1" applyAlignment="1">
      <alignment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175" fontId="11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6" fontId="1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6" xfId="0" applyFont="1" applyBorder="1" applyAlignment="1">
      <alignment horizontal="center"/>
    </xf>
    <xf numFmtId="2" fontId="0" fillId="0" borderId="27" xfId="0" applyNumberForma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22" xfId="0" applyFont="1" applyBorder="1" applyAlignment="1">
      <alignment/>
    </xf>
    <xf numFmtId="0" fontId="7" fillId="0" borderId="30" xfId="0" applyFont="1" applyBorder="1" applyAlignment="1">
      <alignment vertical="center"/>
    </xf>
    <xf numFmtId="0" fontId="2" fillId="0" borderId="29" xfId="0" applyFont="1" applyBorder="1" applyAlignment="1">
      <alignment/>
    </xf>
    <xf numFmtId="3" fontId="0" fillId="0" borderId="31" xfId="0" applyNumberFormat="1" applyBorder="1" applyAlignment="1">
      <alignment/>
    </xf>
    <xf numFmtId="3" fontId="0" fillId="0" borderId="31" xfId="0" applyNumberFormat="1" applyFont="1" applyBorder="1" applyAlignment="1">
      <alignment horizontal="right"/>
    </xf>
    <xf numFmtId="3" fontId="0" fillId="0" borderId="32" xfId="0" applyNumberForma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36" xfId="0" applyBorder="1" applyAlignment="1">
      <alignment/>
    </xf>
    <xf numFmtId="49" fontId="2" fillId="0" borderId="29" xfId="0" applyNumberFormat="1" applyFont="1" applyBorder="1" applyAlignment="1">
      <alignment horizontal="center" wrapText="1"/>
    </xf>
    <xf numFmtId="3" fontId="0" fillId="0" borderId="29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0" fillId="0" borderId="10" xfId="0" applyNumberFormat="1" applyBorder="1" applyAlignment="1" quotePrefix="1">
      <alignment/>
    </xf>
    <xf numFmtId="3" fontId="0" fillId="0" borderId="29" xfId="0" applyNumberFormat="1" applyBorder="1" applyAlignment="1" quotePrefix="1">
      <alignment/>
    </xf>
    <xf numFmtId="3" fontId="0" fillId="0" borderId="38" xfId="0" applyNumberFormat="1" applyBorder="1" applyAlignment="1">
      <alignment/>
    </xf>
    <xf numFmtId="3" fontId="2" fillId="0" borderId="18" xfId="0" applyNumberFormat="1" applyFont="1" applyBorder="1" applyAlignment="1" quotePrefix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2" fillId="0" borderId="11" xfId="0" applyFont="1" applyBorder="1" applyAlignment="1">
      <alignment/>
    </xf>
    <xf numFmtId="2" fontId="0" fillId="0" borderId="23" xfId="0" applyNumberFormat="1" applyBorder="1" applyAlignment="1">
      <alignment/>
    </xf>
    <xf numFmtId="2" fontId="2" fillId="0" borderId="23" xfId="0" applyNumberFormat="1" applyFont="1" applyBorder="1" applyAlignment="1">
      <alignment/>
    </xf>
    <xf numFmtId="0" fontId="0" fillId="0" borderId="18" xfId="0" applyBorder="1" applyAlignment="1">
      <alignment/>
    </xf>
    <xf numFmtId="2" fontId="2" fillId="0" borderId="25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 quotePrefix="1">
      <alignment/>
    </xf>
    <xf numFmtId="4" fontId="2" fillId="0" borderId="2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10" xfId="0" applyNumberFormat="1" applyBorder="1" applyAlignment="1" quotePrefix="1">
      <alignment/>
    </xf>
    <xf numFmtId="4" fontId="0" fillId="0" borderId="23" xfId="0" applyNumberFormat="1" applyBorder="1" applyAlignment="1">
      <alignment/>
    </xf>
    <xf numFmtId="4" fontId="2" fillId="0" borderId="31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29" xfId="0" applyNumberFormat="1" applyBorder="1" applyAlignment="1" quotePrefix="1">
      <alignment/>
    </xf>
    <xf numFmtId="4" fontId="0" fillId="0" borderId="38" xfId="0" applyNumberForma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32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2" fillId="0" borderId="18" xfId="0" applyNumberFormat="1" applyFont="1" applyBorder="1" applyAlignment="1" quotePrefix="1">
      <alignment/>
    </xf>
    <xf numFmtId="4" fontId="2" fillId="0" borderId="18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2" fontId="7" fillId="0" borderId="30" xfId="0" applyNumberFormat="1" applyFont="1" applyBorder="1" applyAlignment="1">
      <alignment vertical="center"/>
    </xf>
    <xf numFmtId="2" fontId="2" fillId="0" borderId="28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/>
    </xf>
    <xf numFmtId="2" fontId="7" fillId="0" borderId="19" xfId="0" applyNumberFormat="1" applyFont="1" applyBorder="1" applyAlignment="1">
      <alignment vertical="center"/>
    </xf>
    <xf numFmtId="2" fontId="2" fillId="0" borderId="29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2" fontId="2" fillId="33" borderId="33" xfId="0" applyNumberFormat="1" applyFont="1" applyFill="1" applyBorder="1" applyAlignment="1">
      <alignment horizontal="center"/>
    </xf>
    <xf numFmtId="4" fontId="6" fillId="0" borderId="40" xfId="0" applyNumberFormat="1" applyFont="1" applyBorder="1" applyAlignment="1">
      <alignment horizontal="center" vertical="center"/>
    </xf>
    <xf numFmtId="4" fontId="0" fillId="0" borderId="41" xfId="0" applyNumberFormat="1" applyFont="1" applyBorder="1" applyAlignment="1">
      <alignment horizontal="left"/>
    </xf>
    <xf numFmtId="4" fontId="6" fillId="0" borderId="41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4" fontId="0" fillId="0" borderId="31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10" xfId="0" applyNumberFormat="1" applyFont="1" applyBorder="1" applyAlignment="1">
      <alignment wrapText="1"/>
    </xf>
    <xf numFmtId="4" fontId="6" fillId="0" borderId="12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27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2" fillId="0" borderId="35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6" fillId="0" borderId="11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6" fillId="0" borderId="12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/>
    </xf>
    <xf numFmtId="4" fontId="2" fillId="0" borderId="42" xfId="0" applyNumberFormat="1" applyFont="1" applyBorder="1" applyAlignment="1">
      <alignment/>
    </xf>
    <xf numFmtId="4" fontId="6" fillId="0" borderId="13" xfId="0" applyNumberFormat="1" applyFont="1" applyBorder="1" applyAlignment="1">
      <alignment horizontal="center" vertical="center"/>
    </xf>
    <xf numFmtId="4" fontId="0" fillId="0" borderId="41" xfId="0" applyNumberFormat="1" applyFont="1" applyBorder="1" applyAlignment="1">
      <alignment horizontal="left" vertical="center" wrapText="1"/>
    </xf>
    <xf numFmtId="4" fontId="0" fillId="0" borderId="41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 wrapText="1"/>
    </xf>
    <xf numFmtId="4" fontId="2" fillId="0" borderId="44" xfId="0" applyNumberFormat="1" applyFont="1" applyBorder="1" applyAlignment="1">
      <alignment/>
    </xf>
    <xf numFmtId="4" fontId="2" fillId="0" borderId="45" xfId="0" applyNumberFormat="1" applyFont="1" applyBorder="1" applyAlignment="1">
      <alignment/>
    </xf>
    <xf numFmtId="4" fontId="6" fillId="0" borderId="46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4" fontId="0" fillId="0" borderId="47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13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/>
    </xf>
    <xf numFmtId="4" fontId="2" fillId="0" borderId="43" xfId="0" applyNumberFormat="1" applyFont="1" applyBorder="1" applyAlignment="1">
      <alignment/>
    </xf>
    <xf numFmtId="4" fontId="6" fillId="0" borderId="48" xfId="0" applyNumberFormat="1" applyFont="1" applyBorder="1" applyAlignment="1">
      <alignment horizontal="center" vertical="center"/>
    </xf>
    <xf numFmtId="4" fontId="6" fillId="0" borderId="49" xfId="0" applyNumberFormat="1" applyFont="1" applyBorder="1" applyAlignment="1">
      <alignment horizontal="left"/>
    </xf>
    <xf numFmtId="4" fontId="6" fillId="0" borderId="49" xfId="0" applyNumberFormat="1" applyFont="1" applyBorder="1" applyAlignment="1">
      <alignment horizontal="center"/>
    </xf>
    <xf numFmtId="4" fontId="6" fillId="0" borderId="49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1" fontId="7" fillId="0" borderId="46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5" fillId="0" borderId="54" xfId="0" applyNumberFormat="1" applyFont="1" applyBorder="1" applyAlignment="1">
      <alignment horizontal="center" vertical="center"/>
    </xf>
    <xf numFmtId="4" fontId="5" fillId="0" borderId="55" xfId="0" applyNumberFormat="1" applyFont="1" applyBorder="1" applyAlignment="1">
      <alignment horizontal="center" vertical="center"/>
    </xf>
    <xf numFmtId="4" fontId="7" fillId="0" borderId="56" xfId="0" applyNumberFormat="1" applyFont="1" applyBorder="1" applyAlignment="1">
      <alignment horizontal="center"/>
    </xf>
    <xf numFmtId="4" fontId="7" fillId="0" borderId="57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 vertical="center"/>
    </xf>
    <xf numFmtId="4" fontId="2" fillId="0" borderId="55" xfId="0" applyNumberFormat="1" applyFont="1" applyBorder="1" applyAlignment="1">
      <alignment horizontal="center" vertical="center"/>
    </xf>
    <xf numFmtId="4" fontId="2" fillId="0" borderId="58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4" fontId="2" fillId="0" borderId="6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0" fillId="0" borderId="64" xfId="0" applyNumberFormat="1" applyFont="1" applyBorder="1" applyAlignment="1">
      <alignment horizontal="center" vertical="center"/>
    </xf>
    <xf numFmtId="4" fontId="0" fillId="0" borderId="65" xfId="0" applyNumberFormat="1" applyFont="1" applyBorder="1" applyAlignment="1">
      <alignment horizontal="center" vertical="center"/>
    </xf>
    <xf numFmtId="4" fontId="5" fillId="0" borderId="62" xfId="0" applyNumberFormat="1" applyFont="1" applyBorder="1" applyAlignment="1">
      <alignment horizontal="center"/>
    </xf>
    <xf numFmtId="4" fontId="5" fillId="0" borderId="63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51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" fontId="7" fillId="0" borderId="66" xfId="0" applyNumberFormat="1" applyFont="1" applyBorder="1" applyAlignment="1">
      <alignment horizontal="center"/>
    </xf>
    <xf numFmtId="4" fontId="7" fillId="0" borderId="54" xfId="0" applyNumberFormat="1" applyFont="1" applyBorder="1" applyAlignment="1">
      <alignment horizontal="center" vertical="center"/>
    </xf>
    <xf numFmtId="4" fontId="7" fillId="0" borderId="56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/>
    </xf>
    <xf numFmtId="4" fontId="2" fillId="0" borderId="67" xfId="0" applyNumberFormat="1" applyFont="1" applyBorder="1" applyAlignment="1">
      <alignment horizontal="center"/>
    </xf>
    <xf numFmtId="4" fontId="7" fillId="0" borderId="55" xfId="0" applyNumberFormat="1" applyFont="1" applyBorder="1" applyAlignment="1">
      <alignment horizontal="center" vertical="center"/>
    </xf>
    <xf numFmtId="2" fontId="7" fillId="0" borderId="55" xfId="0" applyNumberFormat="1" applyFont="1" applyBorder="1" applyAlignment="1">
      <alignment horizontal="center" vertical="center"/>
    </xf>
    <xf numFmtId="2" fontId="7" fillId="0" borderId="56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/>
    </xf>
    <xf numFmtId="2" fontId="2" fillId="0" borderId="6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7" fillId="0" borderId="68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7" fillId="0" borderId="40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/>
    </xf>
    <xf numFmtId="2" fontId="2" fillId="0" borderId="65" xfId="0" applyNumberFormat="1" applyFont="1" applyBorder="1" applyAlignment="1">
      <alignment horizontal="center"/>
    </xf>
    <xf numFmtId="2" fontId="2" fillId="0" borderId="69" xfId="0" applyNumberFormat="1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7" fillId="0" borderId="6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93"/>
  <sheetViews>
    <sheetView view="pageBreakPreview" zoomScale="85" zoomScaleSheetLayoutView="85" zoomScalePageLayoutView="0" workbookViewId="0" topLeftCell="A24">
      <selection activeCell="M80" sqref="M80"/>
    </sheetView>
  </sheetViews>
  <sheetFormatPr defaultColWidth="9.140625" defaultRowHeight="12.75"/>
  <cols>
    <col min="2" max="2" width="4.28125" style="0" bestFit="1" customWidth="1"/>
    <col min="3" max="3" width="53.7109375" style="0" customWidth="1"/>
    <col min="4" max="4" width="18.00390625" style="0" bestFit="1" customWidth="1"/>
    <col min="5" max="5" width="17.00390625" style="0" bestFit="1" customWidth="1"/>
    <col min="6" max="6" width="16.57421875" style="0" bestFit="1" customWidth="1"/>
    <col min="7" max="7" width="0" style="0" hidden="1" customWidth="1"/>
    <col min="8" max="8" width="17.7109375" style="0" bestFit="1" customWidth="1"/>
    <col min="9" max="9" width="16.57421875" style="0" bestFit="1" customWidth="1"/>
    <col min="10" max="10" width="11.7109375" style="0" customWidth="1"/>
    <col min="11" max="11" width="10.7109375" style="0" bestFit="1" customWidth="1"/>
    <col min="12" max="12" width="11.7109375" style="0" customWidth="1"/>
    <col min="13" max="13" width="12.7109375" style="0" bestFit="1" customWidth="1"/>
    <col min="14" max="14" width="9.28125" style="0" customWidth="1"/>
    <col min="15" max="15" width="9.421875" style="0" customWidth="1"/>
    <col min="16" max="16" width="12.7109375" style="0" bestFit="1" customWidth="1"/>
    <col min="17" max="22" width="10.140625" style="0" bestFit="1" customWidth="1"/>
    <col min="23" max="23" width="9.421875" style="0" bestFit="1" customWidth="1"/>
    <col min="24" max="24" width="9.8515625" style="0" customWidth="1"/>
    <col min="25" max="26" width="10.140625" style="0" bestFit="1" customWidth="1"/>
    <col min="30" max="30" width="11.7109375" style="0" bestFit="1" customWidth="1"/>
    <col min="31" max="31" width="10.7109375" style="0" bestFit="1" customWidth="1"/>
    <col min="32" max="39" width="10.140625" style="0" bestFit="1" customWidth="1"/>
    <col min="40" max="40" width="11.7109375" style="0" bestFit="1" customWidth="1"/>
  </cols>
  <sheetData>
    <row r="1" ht="12.75">
      <c r="H1" s="205" t="s">
        <v>197</v>
      </c>
    </row>
    <row r="2" ht="12.75">
      <c r="H2" s="205"/>
    </row>
    <row r="3" ht="12.75">
      <c r="H3" t="s">
        <v>185</v>
      </c>
    </row>
    <row r="4" ht="12.75">
      <c r="H4" t="s">
        <v>183</v>
      </c>
    </row>
    <row r="5" ht="12.75">
      <c r="H5" t="s">
        <v>184</v>
      </c>
    </row>
    <row r="6" spans="2:8" ht="12.75">
      <c r="B6" s="243" t="s">
        <v>182</v>
      </c>
      <c r="C6" s="243"/>
      <c r="D6" s="243"/>
      <c r="E6" s="243"/>
      <c r="F6" s="243"/>
      <c r="G6" s="243"/>
      <c r="H6" s="243"/>
    </row>
    <row r="7" spans="2:25" ht="12.75">
      <c r="B7" s="244" t="s">
        <v>171</v>
      </c>
      <c r="C7" s="244"/>
      <c r="D7" s="244"/>
      <c r="E7" s="244"/>
      <c r="F7" s="244"/>
      <c r="G7" s="244"/>
      <c r="H7" s="244"/>
      <c r="L7" s="12"/>
      <c r="M7" s="43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2:25" ht="12.75">
      <c r="B8" s="245" t="s">
        <v>188</v>
      </c>
      <c r="C8" s="245"/>
      <c r="D8" s="245"/>
      <c r="E8" s="245"/>
      <c r="F8" s="245"/>
      <c r="G8" s="245"/>
      <c r="H8" s="245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2:25" ht="13.5" thickBot="1">
      <c r="B9" s="58"/>
      <c r="C9" s="58"/>
      <c r="D9" s="59" t="s">
        <v>15</v>
      </c>
      <c r="E9" s="18">
        <v>4.2294</v>
      </c>
      <c r="F9" s="58"/>
      <c r="G9" s="58"/>
      <c r="H9" s="58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2:25" ht="13.5">
      <c r="B10" s="132" t="s">
        <v>38</v>
      </c>
      <c r="C10" s="246" t="s">
        <v>39</v>
      </c>
      <c r="D10" s="249" t="s">
        <v>93</v>
      </c>
      <c r="E10" s="250"/>
      <c r="F10" s="133" t="s">
        <v>94</v>
      </c>
      <c r="G10" s="134"/>
      <c r="H10" s="249" t="s">
        <v>95</v>
      </c>
      <c r="I10" s="251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44"/>
    </row>
    <row r="11" spans="2:44" ht="13.5">
      <c r="B11" s="135" t="s">
        <v>40</v>
      </c>
      <c r="C11" s="247"/>
      <c r="D11" s="136"/>
      <c r="E11" s="137"/>
      <c r="F11" s="138"/>
      <c r="G11" s="139"/>
      <c r="H11" s="140"/>
      <c r="I11" s="252" t="s">
        <v>0</v>
      </c>
      <c r="L11" s="45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7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</row>
    <row r="12" spans="2:44" ht="13.5" thickBot="1">
      <c r="B12" s="141"/>
      <c r="C12" s="248"/>
      <c r="D12" s="142" t="s">
        <v>31</v>
      </c>
      <c r="E12" s="142" t="s">
        <v>0</v>
      </c>
      <c r="F12" s="142" t="s">
        <v>31</v>
      </c>
      <c r="G12" s="142" t="s">
        <v>31</v>
      </c>
      <c r="H12" s="142" t="s">
        <v>31</v>
      </c>
      <c r="I12" s="253"/>
      <c r="L12" s="48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7"/>
      <c r="Z12" s="51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</row>
    <row r="13" spans="2:44" ht="13.5" thickBot="1">
      <c r="B13" s="200">
        <v>1</v>
      </c>
      <c r="C13" s="201">
        <v>2</v>
      </c>
      <c r="D13" s="202">
        <v>3</v>
      </c>
      <c r="E13" s="202">
        <v>4</v>
      </c>
      <c r="F13" s="202">
        <v>5</v>
      </c>
      <c r="G13" s="202">
        <v>6</v>
      </c>
      <c r="H13" s="202">
        <v>6</v>
      </c>
      <c r="I13" s="203">
        <v>7</v>
      </c>
      <c r="L13" s="48"/>
      <c r="M13" s="36"/>
      <c r="N13" s="36"/>
      <c r="O13" s="35"/>
      <c r="P13" s="35"/>
      <c r="Q13" s="36"/>
      <c r="R13" s="36"/>
      <c r="S13" s="36"/>
      <c r="T13" s="36"/>
      <c r="U13" s="36"/>
      <c r="V13" s="36"/>
      <c r="W13" s="36"/>
      <c r="X13" s="36"/>
      <c r="Y13" s="37"/>
      <c r="Z13" s="51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</row>
    <row r="14" spans="2:44" ht="12.75">
      <c r="B14" s="237"/>
      <c r="C14" s="206" t="s">
        <v>41</v>
      </c>
      <c r="D14" s="206"/>
      <c r="E14" s="206"/>
      <c r="F14" s="206"/>
      <c r="G14" s="206"/>
      <c r="H14" s="206"/>
      <c r="I14" s="207"/>
      <c r="L14" s="48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49"/>
      <c r="Z14" s="51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</row>
    <row r="15" spans="2:44" ht="12.75">
      <c r="B15" s="237"/>
      <c r="C15" s="239" t="s">
        <v>42</v>
      </c>
      <c r="D15" s="239"/>
      <c r="E15" s="239"/>
      <c r="F15" s="239"/>
      <c r="G15" s="239"/>
      <c r="H15" s="239"/>
      <c r="I15" s="240"/>
      <c r="L15" s="48"/>
      <c r="M15" s="36"/>
      <c r="N15" s="36"/>
      <c r="O15" s="35"/>
      <c r="P15" s="35"/>
      <c r="Q15" s="35"/>
      <c r="R15" s="35"/>
      <c r="S15" s="35"/>
      <c r="T15" s="35"/>
      <c r="U15" s="35"/>
      <c r="V15" s="36"/>
      <c r="W15" s="36"/>
      <c r="X15" s="36"/>
      <c r="Y15" s="37"/>
      <c r="Z15" s="51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</row>
    <row r="16" spans="2:44" ht="13.5" thickBot="1">
      <c r="B16" s="238"/>
      <c r="C16" s="241" t="s">
        <v>43</v>
      </c>
      <c r="D16" s="241"/>
      <c r="E16" s="241"/>
      <c r="F16" s="241"/>
      <c r="G16" s="241"/>
      <c r="H16" s="241"/>
      <c r="I16" s="242"/>
      <c r="L16" s="40"/>
      <c r="M16" s="36"/>
      <c r="N16" s="36"/>
      <c r="O16" s="36"/>
      <c r="P16" s="36"/>
      <c r="Q16" s="36"/>
      <c r="R16" s="36"/>
      <c r="S16" s="36"/>
      <c r="T16" s="35"/>
      <c r="U16" s="35"/>
      <c r="V16" s="35"/>
      <c r="W16" s="35"/>
      <c r="X16" s="36"/>
      <c r="Y16" s="37"/>
      <c r="Z16" s="51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</row>
    <row r="17" spans="2:44" ht="12.75">
      <c r="B17" s="143" t="s">
        <v>44</v>
      </c>
      <c r="C17" s="144" t="s">
        <v>45</v>
      </c>
      <c r="D17" s="145"/>
      <c r="E17" s="145"/>
      <c r="F17" s="145"/>
      <c r="G17" s="145"/>
      <c r="H17" s="146"/>
      <c r="I17" s="147"/>
      <c r="L17" s="48"/>
      <c r="M17" s="36"/>
      <c r="N17" s="36"/>
      <c r="O17" s="36"/>
      <c r="P17" s="36"/>
      <c r="Q17" s="36"/>
      <c r="R17" s="36"/>
      <c r="S17" s="36"/>
      <c r="T17" s="36"/>
      <c r="U17" s="35"/>
      <c r="V17" s="35"/>
      <c r="W17" s="35"/>
      <c r="X17" s="35"/>
      <c r="Y17" s="37"/>
      <c r="Z17" s="51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</row>
    <row r="18" spans="2:44" ht="12.75">
      <c r="B18" s="148" t="s">
        <v>46</v>
      </c>
      <c r="C18" s="149" t="s">
        <v>16</v>
      </c>
      <c r="D18" s="131">
        <f aca="true" t="shared" si="0" ref="D18:I18">D20+D19</f>
        <v>1170729.5</v>
      </c>
      <c r="E18" s="131">
        <f t="shared" si="0"/>
        <v>276807.46678015793</v>
      </c>
      <c r="F18" s="131">
        <f t="shared" si="0"/>
        <v>280975.07999999996</v>
      </c>
      <c r="G18" s="131">
        <f t="shared" si="0"/>
        <v>0</v>
      </c>
      <c r="H18" s="131">
        <f t="shared" si="0"/>
        <v>1451704.58</v>
      </c>
      <c r="I18" s="150">
        <f t="shared" si="0"/>
        <v>343241.2588073958</v>
      </c>
      <c r="J18" s="9"/>
      <c r="K18" s="8"/>
      <c r="M18" s="36"/>
      <c r="N18" s="36"/>
      <c r="O18" s="36"/>
      <c r="P18" s="36"/>
      <c r="Q18" s="36"/>
      <c r="R18" s="36"/>
      <c r="S18" s="36"/>
      <c r="T18" s="36"/>
      <c r="U18" s="35"/>
      <c r="V18" s="35"/>
      <c r="W18" s="36"/>
      <c r="X18" s="36"/>
      <c r="Y18" s="37"/>
      <c r="Z18" s="51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</row>
    <row r="19" spans="2:44" ht="12.75">
      <c r="B19" s="151"/>
      <c r="C19" s="149" t="s">
        <v>47</v>
      </c>
      <c r="D19" s="116">
        <f>'01-amenajare  incinta '!D15</f>
        <v>347993.5</v>
      </c>
      <c r="E19" s="152">
        <f>'01-amenajare  incinta '!E15</f>
        <v>82279.63777367948</v>
      </c>
      <c r="F19" s="149">
        <f>D19*0.24</f>
        <v>83518.44</v>
      </c>
      <c r="G19" s="149"/>
      <c r="H19" s="153">
        <f aca="true" t="shared" si="1" ref="H19:I21">D19*1.24</f>
        <v>431511.94</v>
      </c>
      <c r="I19" s="154">
        <f t="shared" si="1"/>
        <v>102026.75083936256</v>
      </c>
      <c r="J19" s="9"/>
      <c r="K19" s="8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5"/>
      <c r="Y19" s="37"/>
      <c r="Z19" s="55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</row>
    <row r="20" spans="2:44" ht="12.75">
      <c r="B20" s="151"/>
      <c r="C20" s="149" t="s">
        <v>48</v>
      </c>
      <c r="D20" s="116">
        <f>'01-amenajare  incinta '!D14</f>
        <v>822736</v>
      </c>
      <c r="E20" s="152">
        <f>'01-amenajare  incinta '!E14</f>
        <v>194527.82900647845</v>
      </c>
      <c r="F20" s="149">
        <f>D20*0.24</f>
        <v>197456.63999999998</v>
      </c>
      <c r="G20" s="149"/>
      <c r="H20" s="153">
        <f t="shared" si="1"/>
        <v>1020192.64</v>
      </c>
      <c r="I20" s="154">
        <f t="shared" si="1"/>
        <v>241214.5079680333</v>
      </c>
      <c r="J20" s="9"/>
      <c r="K20" s="8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</row>
    <row r="21" spans="2:44" ht="12.75" customHeight="1">
      <c r="B21" s="148" t="s">
        <v>49</v>
      </c>
      <c r="C21" s="155" t="s">
        <v>114</v>
      </c>
      <c r="D21" s="130">
        <v>0</v>
      </c>
      <c r="E21" s="130">
        <f>D21/E9</f>
        <v>0</v>
      </c>
      <c r="F21" s="108">
        <f>D21*0.24</f>
        <v>0</v>
      </c>
      <c r="G21" s="130">
        <f>G22</f>
        <v>0</v>
      </c>
      <c r="H21" s="115">
        <f t="shared" si="1"/>
        <v>0</v>
      </c>
      <c r="I21" s="110">
        <f t="shared" si="1"/>
        <v>0</v>
      </c>
      <c r="J21" s="9"/>
      <c r="K21" s="8"/>
      <c r="M21" s="51"/>
      <c r="N21" s="51"/>
      <c r="O21" s="51"/>
      <c r="P21" s="51"/>
      <c r="Q21" s="51"/>
      <c r="R21" s="51"/>
      <c r="S21" s="51"/>
      <c r="T21" s="51"/>
      <c r="U21" s="50"/>
      <c r="V21" s="50"/>
      <c r="W21" s="50"/>
      <c r="X21" s="50"/>
      <c r="Y21" s="51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</row>
    <row r="22" spans="2:44" ht="13.5" thickBot="1">
      <c r="B22" s="156"/>
      <c r="C22" s="157" t="s">
        <v>50</v>
      </c>
      <c r="D22" s="158"/>
      <c r="E22" s="159"/>
      <c r="F22" s="157"/>
      <c r="G22" s="157"/>
      <c r="H22" s="160"/>
      <c r="I22" s="161"/>
      <c r="J22" s="9"/>
      <c r="K22" s="8"/>
      <c r="M22" s="38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</row>
    <row r="23" spans="2:44" ht="13.5" thickBot="1">
      <c r="B23" s="230" t="s">
        <v>17</v>
      </c>
      <c r="C23" s="231"/>
      <c r="D23" s="162">
        <f aca="true" t="shared" si="2" ref="D23:I23">D17+D18+D21</f>
        <v>1170729.5</v>
      </c>
      <c r="E23" s="162">
        <f t="shared" si="2"/>
        <v>276807.46678015793</v>
      </c>
      <c r="F23" s="162">
        <f t="shared" si="2"/>
        <v>280975.07999999996</v>
      </c>
      <c r="G23" s="162">
        <f t="shared" si="2"/>
        <v>0</v>
      </c>
      <c r="H23" s="163">
        <f t="shared" si="2"/>
        <v>1451704.58</v>
      </c>
      <c r="I23" s="164">
        <f t="shared" si="2"/>
        <v>343241.2588073958</v>
      </c>
      <c r="J23" s="9"/>
      <c r="K23" s="8"/>
      <c r="L23" s="26">
        <f>D23+D35+D58</f>
        <v>14874243.49</v>
      </c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</row>
    <row r="24" spans="2:44" ht="12.75">
      <c r="B24" s="232"/>
      <c r="C24" s="220" t="s">
        <v>51</v>
      </c>
      <c r="D24" s="220"/>
      <c r="E24" s="220"/>
      <c r="F24" s="220"/>
      <c r="G24" s="220"/>
      <c r="H24" s="220"/>
      <c r="I24" s="221"/>
      <c r="K24" s="7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0"/>
      <c r="AA24" s="34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</row>
    <row r="25" spans="2:44" ht="13.5" thickBot="1">
      <c r="B25" s="236"/>
      <c r="C25" s="222" t="s">
        <v>52</v>
      </c>
      <c r="D25" s="222"/>
      <c r="E25" s="222"/>
      <c r="F25" s="222"/>
      <c r="G25" s="222"/>
      <c r="H25" s="222"/>
      <c r="I25" s="223"/>
      <c r="K25" s="7"/>
      <c r="L25" s="10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3"/>
      <c r="Z25" s="50"/>
      <c r="AA25" s="50"/>
      <c r="AB25" s="50"/>
      <c r="AC25" s="50"/>
      <c r="AD25" s="50"/>
      <c r="AE25" s="56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</row>
    <row r="26" spans="2:44" ht="12.75">
      <c r="B26" s="165" t="s">
        <v>53</v>
      </c>
      <c r="C26" s="166" t="s">
        <v>54</v>
      </c>
      <c r="D26" s="167">
        <f aca="true" t="shared" si="3" ref="D26:I26">D27+D28+D29+D30+D31</f>
        <v>1214384</v>
      </c>
      <c r="E26" s="167">
        <f t="shared" si="3"/>
        <v>287129.1436137514</v>
      </c>
      <c r="F26" s="167">
        <f t="shared" si="3"/>
        <v>291452.16000000003</v>
      </c>
      <c r="G26" s="167">
        <f t="shared" si="3"/>
        <v>0</v>
      </c>
      <c r="H26" s="167">
        <f t="shared" si="3"/>
        <v>1505836.1600000001</v>
      </c>
      <c r="I26" s="168">
        <f t="shared" si="3"/>
        <v>356040.13808105164</v>
      </c>
      <c r="K26" s="7"/>
      <c r="M26" s="39"/>
      <c r="N26" s="39"/>
      <c r="O26" s="39"/>
      <c r="P26" s="41"/>
      <c r="Q26" s="41"/>
      <c r="R26" s="41"/>
      <c r="S26" s="41"/>
      <c r="T26" s="41"/>
      <c r="U26" s="41"/>
      <c r="V26" s="41"/>
      <c r="W26" s="41"/>
      <c r="X26" s="41"/>
      <c r="Y26" s="54"/>
      <c r="Z26" s="50"/>
      <c r="AA26" s="50"/>
      <c r="AB26" s="50"/>
      <c r="AC26" s="50"/>
      <c r="AD26" s="42"/>
      <c r="AE26" s="51"/>
      <c r="AF26" s="51"/>
      <c r="AG26" s="51"/>
      <c r="AH26" s="51"/>
      <c r="AI26" s="51"/>
      <c r="AJ26" s="51"/>
      <c r="AK26" s="51"/>
      <c r="AL26" s="51"/>
      <c r="AM26" s="51"/>
      <c r="AN26" s="50"/>
      <c r="AO26" s="50"/>
      <c r="AP26" s="50"/>
      <c r="AQ26" s="50"/>
      <c r="AR26" s="50"/>
    </row>
    <row r="27" spans="2:44" ht="12.75">
      <c r="B27" s="148"/>
      <c r="C27" s="149" t="s">
        <v>55</v>
      </c>
      <c r="D27" s="149">
        <f>'02-alimentare cu apa'!D22</f>
        <v>185871</v>
      </c>
      <c r="E27" s="149">
        <f>'02-alimentare cu apa'!E22</f>
        <v>43947.36842105263</v>
      </c>
      <c r="F27" s="149">
        <f>D27*0.24</f>
        <v>44609.04</v>
      </c>
      <c r="G27" s="149"/>
      <c r="H27" s="153">
        <f aca="true" t="shared" si="4" ref="H27:I31">D27*1.24</f>
        <v>230480.04</v>
      </c>
      <c r="I27" s="154">
        <f t="shared" si="4"/>
        <v>54494.73684210527</v>
      </c>
      <c r="K27" s="7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54"/>
      <c r="Z27" s="51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</row>
    <row r="28" spans="2:44" ht="12.75">
      <c r="B28" s="148"/>
      <c r="C28" s="149" t="s">
        <v>56</v>
      </c>
      <c r="D28" s="149">
        <f>'03-canalizare menajera'!D22</f>
        <v>116325</v>
      </c>
      <c r="E28" s="149">
        <f>'03-canalizare menajera'!E22</f>
        <v>27503.90126259044</v>
      </c>
      <c r="F28" s="149">
        <f>D28*0.24</f>
        <v>27918</v>
      </c>
      <c r="G28" s="149"/>
      <c r="H28" s="153">
        <f t="shared" si="4"/>
        <v>144243</v>
      </c>
      <c r="I28" s="154">
        <f t="shared" si="4"/>
        <v>34104.83756561214</v>
      </c>
      <c r="K28" s="7"/>
      <c r="M28" s="41"/>
      <c r="N28" s="41"/>
      <c r="O28" s="39"/>
      <c r="P28" s="39"/>
      <c r="Q28" s="41"/>
      <c r="R28" s="41"/>
      <c r="S28" s="41"/>
      <c r="T28" s="41"/>
      <c r="U28" s="41"/>
      <c r="V28" s="41"/>
      <c r="W28" s="41"/>
      <c r="X28" s="41"/>
      <c r="Y28" s="54"/>
      <c r="Z28" s="50"/>
      <c r="AA28" s="50"/>
      <c r="AB28" s="50"/>
      <c r="AC28" s="50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</row>
    <row r="29" spans="2:44" s="12" customFormat="1" ht="12.75">
      <c r="B29" s="169"/>
      <c r="C29" s="170" t="s">
        <v>91</v>
      </c>
      <c r="D29" s="170">
        <f>'04-CANALIZARE PLUVIALA'!D22</f>
        <v>313345</v>
      </c>
      <c r="E29" s="170">
        <f>'04-CANALIZARE PLUVIALA'!E22</f>
        <v>74087.34099399442</v>
      </c>
      <c r="F29" s="149">
        <f>D29*0.24</f>
        <v>75202.8</v>
      </c>
      <c r="G29" s="149"/>
      <c r="H29" s="153">
        <f t="shared" si="4"/>
        <v>388547.8</v>
      </c>
      <c r="I29" s="154">
        <f t="shared" si="4"/>
        <v>91868.30283255309</v>
      </c>
      <c r="K29" s="13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2"/>
      <c r="Z29" s="50"/>
      <c r="AA29" s="50"/>
      <c r="AB29" s="50"/>
      <c r="AC29" s="50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</row>
    <row r="30" spans="2:44" ht="12.75">
      <c r="B30" s="148"/>
      <c r="C30" s="149" t="s">
        <v>89</v>
      </c>
      <c r="D30" s="149">
        <f>'06-ALIMENTARE CU GAZ'!D22</f>
        <v>139900</v>
      </c>
      <c r="E30" s="149">
        <f>'06-ALIMENTARE CU GAZ'!E22</f>
        <v>33077.97796377737</v>
      </c>
      <c r="F30" s="149">
        <f>D30*0.24</f>
        <v>33576</v>
      </c>
      <c r="G30" s="149"/>
      <c r="H30" s="153">
        <f t="shared" si="4"/>
        <v>173476</v>
      </c>
      <c r="I30" s="154">
        <f t="shared" si="4"/>
        <v>41016.692675083934</v>
      </c>
      <c r="K30" s="7"/>
      <c r="L30">
        <f>E23/1.19+E35/1.19+E48/1.19</f>
        <v>842685.4793555955</v>
      </c>
      <c r="M30" s="41"/>
      <c r="N30" s="41"/>
      <c r="O30" s="54"/>
      <c r="P30" s="54"/>
      <c r="Q30" s="54"/>
      <c r="R30" s="54"/>
      <c r="S30" s="54"/>
      <c r="T30" s="54"/>
      <c r="U30" s="42"/>
      <c r="V30" s="42"/>
      <c r="W30" s="42"/>
      <c r="X30" s="42"/>
      <c r="Y30" s="54"/>
      <c r="Z30" s="51"/>
      <c r="AA30" s="50"/>
      <c r="AB30" s="50"/>
      <c r="AC30" s="50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42"/>
      <c r="AO30" s="51"/>
      <c r="AP30" s="51"/>
      <c r="AQ30" s="51"/>
      <c r="AR30" s="51"/>
    </row>
    <row r="31" spans="2:44" ht="12.75">
      <c r="B31" s="148"/>
      <c r="C31" s="149" t="s">
        <v>90</v>
      </c>
      <c r="D31" s="149">
        <f>'05-ALIMENTARE CU EN. ELECTR.'!D22</f>
        <v>458943</v>
      </c>
      <c r="E31" s="149">
        <f>'05-ALIMENTARE CU EN. ELECTR.'!E22</f>
        <v>108512.5549723365</v>
      </c>
      <c r="F31" s="149">
        <f>D31*0.24</f>
        <v>110146.31999999999</v>
      </c>
      <c r="G31" s="149"/>
      <c r="H31" s="153">
        <f t="shared" si="4"/>
        <v>569089.32</v>
      </c>
      <c r="I31" s="154">
        <f t="shared" si="4"/>
        <v>134555.56816569724</v>
      </c>
      <c r="K31" s="7"/>
      <c r="M31" s="41"/>
      <c r="N31" s="41"/>
      <c r="O31" s="42"/>
      <c r="P31" s="42"/>
      <c r="Q31" s="42"/>
      <c r="R31" s="42"/>
      <c r="S31" s="42"/>
      <c r="T31" s="54"/>
      <c r="U31" s="54"/>
      <c r="V31" s="54"/>
      <c r="W31" s="42"/>
      <c r="X31" s="42"/>
      <c r="Y31" s="54"/>
      <c r="Z31" s="50"/>
      <c r="AA31" s="50"/>
      <c r="AB31" s="50"/>
      <c r="AC31" s="50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</row>
    <row r="32" spans="2:44" ht="12.75">
      <c r="B32" s="148" t="s">
        <v>57</v>
      </c>
      <c r="C32" s="149" t="s">
        <v>58</v>
      </c>
      <c r="D32" s="108">
        <f aca="true" t="shared" si="5" ref="D32:I32">D33+D34</f>
        <v>185141</v>
      </c>
      <c r="E32" s="108">
        <f t="shared" si="5"/>
        <v>43774.76710644536</v>
      </c>
      <c r="F32" s="108">
        <f t="shared" si="5"/>
        <v>44433.84</v>
      </c>
      <c r="G32" s="108">
        <f t="shared" si="5"/>
        <v>0</v>
      </c>
      <c r="H32" s="108">
        <f t="shared" si="5"/>
        <v>229574.84</v>
      </c>
      <c r="I32" s="110">
        <f t="shared" si="5"/>
        <v>54280.711211992246</v>
      </c>
      <c r="K32" s="7"/>
      <c r="M32" s="41"/>
      <c r="N32" s="41"/>
      <c r="O32" s="42"/>
      <c r="P32" s="42"/>
      <c r="Q32" s="42"/>
      <c r="R32" s="42"/>
      <c r="S32" s="42"/>
      <c r="T32" s="42"/>
      <c r="U32" s="54"/>
      <c r="V32" s="54"/>
      <c r="W32" s="54"/>
      <c r="X32" s="54"/>
      <c r="Y32" s="54"/>
      <c r="Z32" s="50"/>
      <c r="AA32" s="50"/>
      <c r="AB32" s="50"/>
      <c r="AC32" s="50"/>
      <c r="AD32" s="51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</row>
    <row r="33" spans="2:44" ht="12.75">
      <c r="B33" s="148"/>
      <c r="C33" s="149" t="s">
        <v>59</v>
      </c>
      <c r="D33" s="149"/>
      <c r="E33" s="149"/>
      <c r="F33" s="149"/>
      <c r="G33" s="149"/>
      <c r="H33" s="149"/>
      <c r="I33" s="154"/>
      <c r="K33" s="7"/>
      <c r="M33" s="41"/>
      <c r="N33" s="41"/>
      <c r="O33" s="42"/>
      <c r="P33" s="42"/>
      <c r="Q33" s="42"/>
      <c r="R33" s="42"/>
      <c r="S33" s="42"/>
      <c r="T33" s="42"/>
      <c r="U33" s="54"/>
      <c r="V33" s="54"/>
      <c r="W33" s="42"/>
      <c r="X33" s="42"/>
      <c r="Y33" s="54"/>
      <c r="Z33" s="50"/>
      <c r="AA33" s="50"/>
      <c r="AB33" s="50"/>
      <c r="AC33" s="50"/>
      <c r="AD33" s="51"/>
      <c r="AE33" s="50"/>
      <c r="AF33" s="50"/>
      <c r="AG33" s="50"/>
      <c r="AH33" s="50"/>
      <c r="AI33" s="50"/>
      <c r="AJ33" s="50"/>
      <c r="AK33" s="50"/>
      <c r="AL33" s="50"/>
      <c r="AM33" s="50"/>
      <c r="AN33" s="42"/>
      <c r="AO33" s="50"/>
      <c r="AP33" s="50"/>
      <c r="AQ33" s="50"/>
      <c r="AR33" s="50"/>
    </row>
    <row r="34" spans="2:44" ht="13.5" thickBot="1">
      <c r="B34" s="171"/>
      <c r="C34" s="157" t="s">
        <v>60</v>
      </c>
      <c r="D34" s="157">
        <f>'05-ALIMENTARE CU EN. ELECTR.'!D27</f>
        <v>185141</v>
      </c>
      <c r="E34" s="157">
        <f>'05-ALIMENTARE CU EN. ELECTR.'!E27</f>
        <v>43774.76710644536</v>
      </c>
      <c r="F34" s="157">
        <f>D34*0.24</f>
        <v>44433.84</v>
      </c>
      <c r="G34" s="157"/>
      <c r="H34" s="160">
        <f>D34*1.24</f>
        <v>229574.84</v>
      </c>
      <c r="I34" s="161">
        <f>E34*1.24</f>
        <v>54280.711211992246</v>
      </c>
      <c r="K34" s="7"/>
      <c r="M34" s="36"/>
      <c r="N34" s="36"/>
      <c r="O34" s="42"/>
      <c r="P34" s="42"/>
      <c r="Q34" s="42"/>
      <c r="R34" s="42"/>
      <c r="S34" s="42"/>
      <c r="T34" s="42"/>
      <c r="U34" s="42"/>
      <c r="V34" s="42"/>
      <c r="W34" s="42"/>
      <c r="X34" s="54"/>
      <c r="Y34" s="54"/>
      <c r="Z34" s="50"/>
      <c r="AA34" s="50"/>
      <c r="AB34" s="50"/>
      <c r="AC34" s="50"/>
      <c r="AD34" s="51"/>
      <c r="AE34" s="51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</row>
    <row r="35" spans="2:44" ht="13.5" thickBot="1">
      <c r="B35" s="212" t="s">
        <v>61</v>
      </c>
      <c r="C35" s="213"/>
      <c r="D35" s="172">
        <f aca="true" t="shared" si="6" ref="D35:I35">D26+D32</f>
        <v>1399525</v>
      </c>
      <c r="E35" s="172">
        <f t="shared" si="6"/>
        <v>330903.9107201968</v>
      </c>
      <c r="F35" s="172">
        <f t="shared" si="6"/>
        <v>335886</v>
      </c>
      <c r="G35" s="172">
        <f t="shared" si="6"/>
        <v>0</v>
      </c>
      <c r="H35" s="172">
        <f t="shared" si="6"/>
        <v>1735411.0000000002</v>
      </c>
      <c r="I35" s="173">
        <f t="shared" si="6"/>
        <v>410320.8492930439</v>
      </c>
      <c r="K35" s="7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</row>
    <row r="36" spans="2:44" ht="12.75">
      <c r="B36" s="214"/>
      <c r="C36" s="220" t="s">
        <v>62</v>
      </c>
      <c r="D36" s="220"/>
      <c r="E36" s="220"/>
      <c r="F36" s="220"/>
      <c r="G36" s="220"/>
      <c r="H36" s="220"/>
      <c r="I36" s="221"/>
      <c r="K36" s="7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1"/>
      <c r="Y36" s="55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</row>
    <row r="37" spans="2:44" ht="13.5" thickBot="1">
      <c r="B37" s="215"/>
      <c r="C37" s="234" t="s">
        <v>63</v>
      </c>
      <c r="D37" s="234"/>
      <c r="E37" s="234"/>
      <c r="F37" s="234"/>
      <c r="G37" s="234"/>
      <c r="H37" s="234"/>
      <c r="I37" s="235"/>
      <c r="K37" s="7"/>
      <c r="M37" s="50"/>
      <c r="N37" s="51"/>
      <c r="O37" s="50"/>
      <c r="P37" s="50"/>
      <c r="Q37" s="51"/>
      <c r="R37" s="50"/>
      <c r="S37" s="50"/>
      <c r="T37" s="51"/>
      <c r="U37" s="50"/>
      <c r="V37" s="50"/>
      <c r="W37" s="50"/>
      <c r="X37" s="50"/>
      <c r="Y37" s="51"/>
      <c r="Z37" s="50"/>
      <c r="AA37" s="50"/>
      <c r="AB37" s="50"/>
      <c r="AC37" s="50"/>
      <c r="AD37" s="42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</row>
    <row r="38" spans="2:44" ht="12.75">
      <c r="B38" s="174" t="s">
        <v>64</v>
      </c>
      <c r="C38" s="175" t="s">
        <v>97</v>
      </c>
      <c r="D38" s="176">
        <f>E38*E9</f>
        <v>0</v>
      </c>
      <c r="E38" s="176">
        <v>0</v>
      </c>
      <c r="F38" s="176">
        <f>D38*0.24</f>
        <v>0</v>
      </c>
      <c r="G38" s="176"/>
      <c r="H38" s="176">
        <f>D38</f>
        <v>0</v>
      </c>
      <c r="I38" s="177">
        <f>E38</f>
        <v>0</v>
      </c>
      <c r="K38" s="7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</row>
    <row r="39" spans="2:44" ht="12.75">
      <c r="B39" s="148" t="s">
        <v>65</v>
      </c>
      <c r="C39" s="149" t="s">
        <v>96</v>
      </c>
      <c r="D39" s="170">
        <v>13716.89</v>
      </c>
      <c r="E39" s="170">
        <f>D39/E9</f>
        <v>3243.223625100487</v>
      </c>
      <c r="F39" s="149">
        <v>0</v>
      </c>
      <c r="G39" s="149"/>
      <c r="H39" s="149">
        <f>D39</f>
        <v>13716.89</v>
      </c>
      <c r="I39" s="154">
        <f>E39</f>
        <v>3243.223625100487</v>
      </c>
      <c r="K39" s="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0"/>
      <c r="AA39" s="50"/>
      <c r="AB39" s="50"/>
      <c r="AC39" s="50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0"/>
      <c r="AO39" s="50"/>
      <c r="AP39" s="50"/>
      <c r="AQ39" s="50"/>
      <c r="AR39" s="50"/>
    </row>
    <row r="40" spans="2:44" ht="12.75">
      <c r="B40" s="178" t="s">
        <v>66</v>
      </c>
      <c r="C40" s="179" t="s">
        <v>98</v>
      </c>
      <c r="D40" s="149">
        <v>290833</v>
      </c>
      <c r="E40" s="170">
        <f>D40/E9</f>
        <v>68764.60017969452</v>
      </c>
      <c r="F40" s="149">
        <f>D40*0.24</f>
        <v>69799.92</v>
      </c>
      <c r="G40" s="149"/>
      <c r="H40" s="149">
        <f>D40*1.19</f>
        <v>346091.26999999996</v>
      </c>
      <c r="I40" s="154">
        <f>E40*1.24</f>
        <v>85268.1042228212</v>
      </c>
      <c r="K40" s="7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0"/>
      <c r="AA40" s="50"/>
      <c r="AB40" s="50"/>
      <c r="AC40" s="50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0"/>
      <c r="AO40" s="50"/>
      <c r="AP40" s="50"/>
      <c r="AQ40" s="50"/>
      <c r="AR40" s="50"/>
    </row>
    <row r="41" spans="2:44" ht="12.75">
      <c r="B41" s="148" t="s">
        <v>67</v>
      </c>
      <c r="C41" s="149" t="s">
        <v>68</v>
      </c>
      <c r="D41" s="149">
        <v>0</v>
      </c>
      <c r="E41" s="170">
        <f>D41/E9</f>
        <v>0</v>
      </c>
      <c r="F41" s="149">
        <f>D41*0.24</f>
        <v>0</v>
      </c>
      <c r="G41" s="149"/>
      <c r="H41" s="149">
        <f>D41*1.24</f>
        <v>0</v>
      </c>
      <c r="I41" s="154">
        <f>E41*1.24</f>
        <v>0</v>
      </c>
      <c r="K41" s="7"/>
      <c r="M41" s="39"/>
      <c r="N41" s="39"/>
      <c r="O41" s="39"/>
      <c r="P41" s="41"/>
      <c r="Q41" s="41"/>
      <c r="R41" s="41"/>
      <c r="S41" s="41"/>
      <c r="T41" s="41"/>
      <c r="U41" s="41"/>
      <c r="V41" s="41"/>
      <c r="W41" s="41"/>
      <c r="X41" s="41"/>
      <c r="Y41" s="54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</row>
    <row r="42" spans="2:44" ht="12.75">
      <c r="B42" s="148" t="s">
        <v>69</v>
      </c>
      <c r="C42" s="149" t="s">
        <v>99</v>
      </c>
      <c r="D42" s="149">
        <f>E42*$E$9</f>
        <v>0</v>
      </c>
      <c r="E42" s="170">
        <v>0</v>
      </c>
      <c r="F42" s="149">
        <f>D42*0.24</f>
        <v>0</v>
      </c>
      <c r="G42" s="149"/>
      <c r="H42" s="149">
        <f>D42*1.19</f>
        <v>0</v>
      </c>
      <c r="I42" s="154">
        <f>E42*1.24</f>
        <v>0</v>
      </c>
      <c r="K42" s="7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54"/>
      <c r="Z42" s="50"/>
      <c r="AA42" s="50"/>
      <c r="AB42" s="50"/>
      <c r="AC42" s="50"/>
      <c r="AD42" s="51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</row>
    <row r="43" spans="2:44" ht="13.5" thickBot="1">
      <c r="B43" s="171" t="s">
        <v>70</v>
      </c>
      <c r="C43" s="157" t="s">
        <v>100</v>
      </c>
      <c r="D43" s="149">
        <v>48000</v>
      </c>
      <c r="E43" s="170">
        <f>D43/E9</f>
        <v>11349.127535820684</v>
      </c>
      <c r="F43" s="149">
        <f>D43*0.24</f>
        <v>11520</v>
      </c>
      <c r="G43" s="149"/>
      <c r="H43" s="149">
        <f>D43*1.24</f>
        <v>59520</v>
      </c>
      <c r="I43" s="154">
        <f>E43*1.24</f>
        <v>14072.918144417648</v>
      </c>
      <c r="K43" s="7"/>
      <c r="M43" s="41"/>
      <c r="N43" s="41"/>
      <c r="O43" s="39"/>
      <c r="P43" s="39"/>
      <c r="Q43" s="41"/>
      <c r="R43" s="41"/>
      <c r="S43" s="41"/>
      <c r="T43" s="41"/>
      <c r="U43" s="41"/>
      <c r="V43" s="41"/>
      <c r="W43" s="41"/>
      <c r="X43" s="41"/>
      <c r="Y43" s="54"/>
      <c r="Z43" s="50"/>
      <c r="AA43" s="50"/>
      <c r="AB43" s="50"/>
      <c r="AC43" s="50"/>
      <c r="AD43" s="51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</row>
    <row r="44" spans="2:44" ht="13.5" thickBot="1">
      <c r="B44" s="230" t="s">
        <v>71</v>
      </c>
      <c r="C44" s="231"/>
      <c r="D44" s="180">
        <f aca="true" t="shared" si="7" ref="D44:I44">SUM(D38:D43)</f>
        <v>352549.89</v>
      </c>
      <c r="E44" s="180">
        <f t="shared" si="7"/>
        <v>83356.95134061569</v>
      </c>
      <c r="F44" s="180">
        <f t="shared" si="7"/>
        <v>81319.92</v>
      </c>
      <c r="G44" s="180">
        <f t="shared" si="7"/>
        <v>0</v>
      </c>
      <c r="H44" s="180">
        <f t="shared" si="7"/>
        <v>419328.16</v>
      </c>
      <c r="I44" s="181">
        <f t="shared" si="7"/>
        <v>102584.24599233935</v>
      </c>
      <c r="K44" s="7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2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</row>
    <row r="45" spans="2:44" ht="12.75">
      <c r="B45" s="232"/>
      <c r="C45" s="220" t="s">
        <v>72</v>
      </c>
      <c r="D45" s="220"/>
      <c r="E45" s="220"/>
      <c r="F45" s="220"/>
      <c r="G45" s="220"/>
      <c r="H45" s="220"/>
      <c r="I45" s="221"/>
      <c r="K45" s="7"/>
      <c r="M45" s="41"/>
      <c r="N45" s="41"/>
      <c r="O45" s="39"/>
      <c r="P45" s="39"/>
      <c r="Q45" s="39"/>
      <c r="R45" s="39"/>
      <c r="S45" s="39"/>
      <c r="T45" s="39"/>
      <c r="U45" s="41"/>
      <c r="V45" s="41"/>
      <c r="W45" s="41"/>
      <c r="X45" s="41"/>
      <c r="Y45" s="54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</row>
    <row r="46" spans="2:44" ht="13.5" thickBot="1">
      <c r="B46" s="233"/>
      <c r="C46" s="234" t="s">
        <v>73</v>
      </c>
      <c r="D46" s="234"/>
      <c r="E46" s="234"/>
      <c r="F46" s="234"/>
      <c r="G46" s="234"/>
      <c r="H46" s="234"/>
      <c r="I46" s="235"/>
      <c r="K46" s="7"/>
      <c r="M46" s="41"/>
      <c r="N46" s="41"/>
      <c r="O46" s="41"/>
      <c r="P46" s="41"/>
      <c r="Q46" s="41"/>
      <c r="R46" s="41"/>
      <c r="S46" s="41"/>
      <c r="T46" s="39"/>
      <c r="U46" s="39"/>
      <c r="V46" s="39"/>
      <c r="W46" s="41"/>
      <c r="X46" s="41"/>
      <c r="Y46" s="54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</row>
    <row r="47" spans="2:44" ht="12.75">
      <c r="B47" s="165" t="s">
        <v>74</v>
      </c>
      <c r="C47" s="166" t="s">
        <v>54</v>
      </c>
      <c r="D47" s="167">
        <f>SUM(D48:D52)</f>
        <v>11919950.99</v>
      </c>
      <c r="E47" s="167">
        <f>SUM(E48:E52)</f>
        <v>2818355.083463376</v>
      </c>
      <c r="F47" s="167">
        <f>SUM(F48:F52)</f>
        <v>2860788.2375999996</v>
      </c>
      <c r="G47" s="167">
        <f>G48</f>
        <v>0</v>
      </c>
      <c r="H47" s="167">
        <f>SUM(H48:H52)</f>
        <v>14780739.2276</v>
      </c>
      <c r="I47" s="168">
        <f>SUM(H48:H52)</f>
        <v>14780739.2276</v>
      </c>
      <c r="K47" s="7"/>
      <c r="M47" s="41"/>
      <c r="N47" s="41"/>
      <c r="O47" s="41"/>
      <c r="P47" s="41"/>
      <c r="Q47" s="41"/>
      <c r="R47" s="41"/>
      <c r="S47" s="41"/>
      <c r="T47" s="41"/>
      <c r="U47" s="39"/>
      <c r="V47" s="39"/>
      <c r="W47" s="39"/>
      <c r="X47" s="39"/>
      <c r="Y47" s="54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</row>
    <row r="48" spans="2:44" ht="12.75">
      <c r="B48" s="148"/>
      <c r="C48" s="149" t="s">
        <v>191</v>
      </c>
      <c r="D48" s="149">
        <f>'07-CLADIRE'!D20+'07-CLADIRE'!D15</f>
        <v>1670969.7200000002</v>
      </c>
      <c r="E48" s="149">
        <f>'07-CLADIRE'!E20+'07-CLADIRE'!E15</f>
        <v>395084.3429328038</v>
      </c>
      <c r="F48" s="149">
        <f>D48*0.24</f>
        <v>401032.73280000006</v>
      </c>
      <c r="G48" s="149"/>
      <c r="H48" s="149">
        <f aca="true" t="shared" si="8" ref="H48:I52">D48*1.24</f>
        <v>2072002.4528000003</v>
      </c>
      <c r="I48" s="154">
        <f t="shared" si="8"/>
        <v>489904.5852366767</v>
      </c>
      <c r="K48" s="7"/>
      <c r="M48" s="41"/>
      <c r="N48" s="41"/>
      <c r="O48" s="41"/>
      <c r="P48" s="41"/>
      <c r="Q48" s="41"/>
      <c r="R48" s="41"/>
      <c r="S48" s="41"/>
      <c r="T48" s="41"/>
      <c r="U48" s="39"/>
      <c r="V48" s="39"/>
      <c r="W48" s="41"/>
      <c r="X48" s="41"/>
      <c r="Y48" s="54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</row>
    <row r="49" spans="2:44" ht="12.75">
      <c r="B49" s="148"/>
      <c r="C49" s="149" t="s">
        <v>193</v>
      </c>
      <c r="D49" s="149">
        <f>'07-CLADIRE'!D24+'07-CLADIRE'!D16</f>
        <v>3006775.95</v>
      </c>
      <c r="E49" s="149">
        <f>'07-CLADIRE'!E24+'07-CLADIRE'!E16</f>
        <v>710922.5776705917</v>
      </c>
      <c r="F49" s="149">
        <f>D49*0.24</f>
        <v>721626.228</v>
      </c>
      <c r="G49" s="149"/>
      <c r="H49" s="149">
        <f t="shared" si="8"/>
        <v>3728402.1780000003</v>
      </c>
      <c r="I49" s="154">
        <f t="shared" si="8"/>
        <v>881543.9963115336</v>
      </c>
      <c r="K49" s="7"/>
      <c r="M49" s="41"/>
      <c r="N49" s="41"/>
      <c r="O49" s="41"/>
      <c r="P49" s="41"/>
      <c r="Q49" s="41"/>
      <c r="R49" s="41"/>
      <c r="S49" s="41"/>
      <c r="T49" s="41"/>
      <c r="U49" s="39"/>
      <c r="V49" s="39"/>
      <c r="W49" s="41"/>
      <c r="X49" s="41"/>
      <c r="Y49" s="54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</row>
    <row r="50" spans="2:44" ht="12.75">
      <c r="B50" s="148"/>
      <c r="C50" s="149" t="s">
        <v>194</v>
      </c>
      <c r="D50" s="149">
        <f>'07-CLADIRE'!D28+'07-CLADIRE'!D19</f>
        <v>5916418.32</v>
      </c>
      <c r="E50" s="149">
        <f>'07-CLADIRE'!E28+'07-CLADIRE'!E19</f>
        <v>1398878.876436374</v>
      </c>
      <c r="F50" s="149">
        <f>D50*0.24</f>
        <v>1419940.3968</v>
      </c>
      <c r="G50" s="149"/>
      <c r="H50" s="149">
        <f t="shared" si="8"/>
        <v>7336358.7168000005</v>
      </c>
      <c r="I50" s="154">
        <f t="shared" si="8"/>
        <v>1734609.8067811036</v>
      </c>
      <c r="K50" s="7"/>
      <c r="M50" s="41"/>
      <c r="N50" s="41"/>
      <c r="O50" s="41"/>
      <c r="P50" s="41"/>
      <c r="Q50" s="41"/>
      <c r="R50" s="41"/>
      <c r="S50" s="41"/>
      <c r="T50" s="41"/>
      <c r="U50" s="39"/>
      <c r="V50" s="39"/>
      <c r="W50" s="41"/>
      <c r="X50" s="41"/>
      <c r="Y50" s="54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</row>
    <row r="51" spans="2:44" ht="12.75">
      <c r="B51" s="148"/>
      <c r="C51" s="149" t="s">
        <v>195</v>
      </c>
      <c r="D51" s="149">
        <f>'07-CLADIRE'!D32+'07-CLADIRE'!D17</f>
        <v>984506.91</v>
      </c>
      <c r="E51" s="149">
        <f>'07-CLADIRE'!E32+'07-CLADIRE'!E17</f>
        <v>232776.96836430702</v>
      </c>
      <c r="F51" s="149">
        <f>D51*0.24</f>
        <v>236281.6584</v>
      </c>
      <c r="G51" s="149"/>
      <c r="H51" s="149">
        <f t="shared" si="8"/>
        <v>1220788.5684</v>
      </c>
      <c r="I51" s="154">
        <f t="shared" si="8"/>
        <v>288643.4407717407</v>
      </c>
      <c r="K51" s="7"/>
      <c r="M51" s="41"/>
      <c r="N51" s="41"/>
      <c r="O51" s="41"/>
      <c r="P51" s="41"/>
      <c r="Q51" s="41"/>
      <c r="R51" s="41"/>
      <c r="S51" s="41"/>
      <c r="T51" s="41"/>
      <c r="U51" s="39"/>
      <c r="V51" s="39"/>
      <c r="W51" s="41"/>
      <c r="X51" s="41"/>
      <c r="Y51" s="54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</row>
    <row r="52" spans="2:44" ht="12.75">
      <c r="B52" s="148"/>
      <c r="C52" s="149" t="s">
        <v>196</v>
      </c>
      <c r="D52" s="149">
        <f>'07-CLADIRE'!D34+'07-CLADIRE'!D18</f>
        <v>341280.09</v>
      </c>
      <c r="E52" s="149">
        <f>'07-CLADIRE'!E34+'07-CLADIRE'!E18</f>
        <v>80692.3180592992</v>
      </c>
      <c r="F52" s="149">
        <f>D52*0.24</f>
        <v>81907.2216</v>
      </c>
      <c r="G52" s="149"/>
      <c r="H52" s="149">
        <f t="shared" si="8"/>
        <v>423187.3116</v>
      </c>
      <c r="I52" s="154">
        <f t="shared" si="8"/>
        <v>100058.47439353101</v>
      </c>
      <c r="K52" s="7"/>
      <c r="M52" s="41"/>
      <c r="N52" s="41"/>
      <c r="O52" s="41"/>
      <c r="P52" s="41"/>
      <c r="Q52" s="41"/>
      <c r="R52" s="41"/>
      <c r="S52" s="41"/>
      <c r="T52" s="41"/>
      <c r="U52" s="39"/>
      <c r="V52" s="39"/>
      <c r="W52" s="41"/>
      <c r="X52" s="41"/>
      <c r="Y52" s="54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</row>
    <row r="53" spans="2:44" ht="12.75">
      <c r="B53" s="148" t="s">
        <v>75</v>
      </c>
      <c r="C53" s="149" t="s">
        <v>101</v>
      </c>
      <c r="D53" s="149"/>
      <c r="E53" s="149"/>
      <c r="F53" s="149"/>
      <c r="G53" s="149"/>
      <c r="H53" s="149"/>
      <c r="I53" s="154"/>
      <c r="K53" s="7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39"/>
      <c r="Y53" s="54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</row>
    <row r="54" spans="2:44" ht="12.75">
      <c r="B54" s="169" t="s">
        <v>76</v>
      </c>
      <c r="C54" s="170" t="s">
        <v>77</v>
      </c>
      <c r="D54" s="170">
        <f>'07-CLADIRE'!D41</f>
        <v>384038</v>
      </c>
      <c r="E54" s="170">
        <f>'07-CLADIRE'!E41</f>
        <v>90802.00501253133</v>
      </c>
      <c r="F54" s="149">
        <f>D54*0.24</f>
        <v>92169.12</v>
      </c>
      <c r="G54" s="149"/>
      <c r="H54" s="149">
        <f aca="true" t="shared" si="9" ref="H54:I56">D54*1.24</f>
        <v>476207.12</v>
      </c>
      <c r="I54" s="154">
        <f t="shared" si="9"/>
        <v>112594.48621553884</v>
      </c>
      <c r="K54" s="7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</row>
    <row r="55" spans="2:44" ht="12.75">
      <c r="B55" s="169" t="s">
        <v>78</v>
      </c>
      <c r="C55" s="170" t="s">
        <v>79</v>
      </c>
      <c r="D55" s="170">
        <f>'07-CLADIRE'!D42</f>
        <v>0</v>
      </c>
      <c r="E55" s="170">
        <f>'07-CLADIRE'!E42</f>
        <v>0</v>
      </c>
      <c r="F55" s="149">
        <f>D55*0.24</f>
        <v>0</v>
      </c>
      <c r="G55" s="149"/>
      <c r="H55" s="149">
        <f t="shared" si="9"/>
        <v>0</v>
      </c>
      <c r="I55" s="154">
        <f t="shared" si="9"/>
        <v>0</v>
      </c>
      <c r="K55" s="7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</row>
    <row r="56" spans="2:44" ht="12.75">
      <c r="B56" s="169" t="s">
        <v>80</v>
      </c>
      <c r="C56" s="170" t="s">
        <v>81</v>
      </c>
      <c r="D56" s="170">
        <f>'07-CLADIRE'!D43</f>
        <v>0</v>
      </c>
      <c r="E56" s="170">
        <f>'07-CLADIRE'!E43</f>
        <v>0</v>
      </c>
      <c r="F56" s="149">
        <f>D56*0.24</f>
        <v>0</v>
      </c>
      <c r="G56" s="149"/>
      <c r="H56" s="149">
        <f t="shared" si="9"/>
        <v>0</v>
      </c>
      <c r="I56" s="154">
        <f t="shared" si="9"/>
        <v>0</v>
      </c>
      <c r="K56" s="7"/>
      <c r="M56" s="50"/>
      <c r="N56" s="50"/>
      <c r="O56" s="50"/>
      <c r="P56" s="51"/>
      <c r="Q56" s="51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</row>
    <row r="57" spans="2:44" ht="13.5" thickBot="1">
      <c r="B57" s="182" t="s">
        <v>92</v>
      </c>
      <c r="C57" s="183" t="s">
        <v>102</v>
      </c>
      <c r="D57" s="183"/>
      <c r="E57" s="183"/>
      <c r="F57" s="184"/>
      <c r="G57" s="184"/>
      <c r="H57" s="185"/>
      <c r="I57" s="186"/>
      <c r="K57" s="7"/>
      <c r="M57" s="50"/>
      <c r="N57" s="50"/>
      <c r="O57" s="50"/>
      <c r="P57" s="51"/>
      <c r="Q57" s="51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</row>
    <row r="58" spans="2:44" ht="13.5" thickBot="1">
      <c r="B58" s="230" t="s">
        <v>18</v>
      </c>
      <c r="C58" s="231"/>
      <c r="D58" s="172">
        <f>D47+D53+D54+D55+D56</f>
        <v>12303988.99</v>
      </c>
      <c r="E58" s="172">
        <f>E47+E53+E54+E55+E56+E57</f>
        <v>2909157.088475907</v>
      </c>
      <c r="F58" s="172">
        <f>F47+F53+F54+F55+F56</f>
        <v>2952957.3575999998</v>
      </c>
      <c r="G58" s="172">
        <f>G47+G53+G54+G55+G56</f>
        <v>0</v>
      </c>
      <c r="H58" s="172">
        <f>H47+H53+H54+H55+H56</f>
        <v>15256946.3476</v>
      </c>
      <c r="I58" s="173">
        <f>I47+I53+I54+I55+I56</f>
        <v>14893333.71381554</v>
      </c>
      <c r="K58" s="7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</row>
    <row r="59" spans="2:44" ht="12.75">
      <c r="B59" s="214"/>
      <c r="C59" s="220" t="s">
        <v>82</v>
      </c>
      <c r="D59" s="220"/>
      <c r="E59" s="220"/>
      <c r="F59" s="220"/>
      <c r="G59" s="220"/>
      <c r="H59" s="220"/>
      <c r="I59" s="221"/>
      <c r="K59" s="7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</row>
    <row r="60" spans="2:11" ht="13.5" thickBot="1">
      <c r="B60" s="215"/>
      <c r="C60" s="222" t="s">
        <v>19</v>
      </c>
      <c r="D60" s="222"/>
      <c r="E60" s="222"/>
      <c r="F60" s="222"/>
      <c r="G60" s="222"/>
      <c r="H60" s="222"/>
      <c r="I60" s="223"/>
      <c r="K60" s="7"/>
    </row>
    <row r="61" spans="2:11" ht="12.75">
      <c r="B61" s="165" t="s">
        <v>83</v>
      </c>
      <c r="C61" s="166" t="s">
        <v>181</v>
      </c>
      <c r="D61" s="166">
        <v>121937.76</v>
      </c>
      <c r="E61" s="166">
        <f>D61/E9</f>
        <v>28830.98311817279</v>
      </c>
      <c r="F61" s="187">
        <f>D61*0.24</f>
        <v>29265.0624</v>
      </c>
      <c r="G61" s="187"/>
      <c r="H61" s="187">
        <f aca="true" t="shared" si="10" ref="H61:I65">D61*1.24</f>
        <v>151202.8224</v>
      </c>
      <c r="I61" s="188">
        <f t="shared" si="10"/>
        <v>35750.41906653426</v>
      </c>
      <c r="K61" s="7"/>
    </row>
    <row r="62" spans="2:11" ht="12.75">
      <c r="B62" s="148" t="s">
        <v>84</v>
      </c>
      <c r="C62" s="149" t="s">
        <v>103</v>
      </c>
      <c r="D62" s="149">
        <f>E62*$E$9</f>
        <v>188372.67137000003</v>
      </c>
      <c r="E62" s="149">
        <f>E63+E64</f>
        <v>44538.863992528495</v>
      </c>
      <c r="F62" s="149">
        <f>D62*0.24</f>
        <v>45209.441128800005</v>
      </c>
      <c r="G62" s="149">
        <f>G63+G64</f>
        <v>0</v>
      </c>
      <c r="H62" s="149">
        <f t="shared" si="10"/>
        <v>233582.11249880004</v>
      </c>
      <c r="I62" s="154">
        <f t="shared" si="10"/>
        <v>55228.19135073533</v>
      </c>
      <c r="K62" s="7"/>
    </row>
    <row r="63" spans="2:11" ht="12.75">
      <c r="B63" s="148"/>
      <c r="C63" s="149" t="s">
        <v>85</v>
      </c>
      <c r="D63" s="149">
        <f>E63*$E$9</f>
        <v>115921.64392000002</v>
      </c>
      <c r="E63" s="170">
        <f>K73*0.008</f>
        <v>27408.531687709845</v>
      </c>
      <c r="F63" s="149">
        <f>D63*0.24</f>
        <v>27821.194540800003</v>
      </c>
      <c r="G63" s="149"/>
      <c r="H63" s="149">
        <f t="shared" si="10"/>
        <v>143742.83846080003</v>
      </c>
      <c r="I63" s="177">
        <f t="shared" si="10"/>
        <v>33986.57929276021</v>
      </c>
      <c r="K63" s="7"/>
    </row>
    <row r="64" spans="2:11" ht="12.75">
      <c r="B64" s="148"/>
      <c r="C64" s="149" t="s">
        <v>86</v>
      </c>
      <c r="D64" s="149">
        <f>E64*$E$9</f>
        <v>72451.02745000001</v>
      </c>
      <c r="E64" s="170">
        <f>K73*0.005</f>
        <v>17130.332304818654</v>
      </c>
      <c r="F64" s="176">
        <f>D64*0.24</f>
        <v>17388.246588</v>
      </c>
      <c r="G64" s="176"/>
      <c r="H64" s="176">
        <f t="shared" si="10"/>
        <v>89839.274038</v>
      </c>
      <c r="I64" s="177">
        <f t="shared" si="10"/>
        <v>21241.61205797513</v>
      </c>
      <c r="K64" s="7"/>
    </row>
    <row r="65" spans="2:11" ht="13.5" thickBot="1">
      <c r="B65" s="171" t="s">
        <v>87</v>
      </c>
      <c r="C65" s="157" t="s">
        <v>198</v>
      </c>
      <c r="D65" s="157">
        <f>E65*$E$9</f>
        <v>443431.1547000001</v>
      </c>
      <c r="E65" s="157">
        <f>(K73+E40)*0.03</f>
        <v>104844.93183430276</v>
      </c>
      <c r="F65" s="157">
        <f>D65*0.24</f>
        <v>106423.47712800001</v>
      </c>
      <c r="G65" s="157"/>
      <c r="H65" s="157">
        <f t="shared" si="10"/>
        <v>549854.6318280001</v>
      </c>
      <c r="I65" s="161">
        <f t="shared" si="10"/>
        <v>130007.71547453542</v>
      </c>
      <c r="K65" s="7"/>
    </row>
    <row r="66" spans="2:12" ht="13.5" thickBot="1">
      <c r="B66" s="212" t="s">
        <v>20</v>
      </c>
      <c r="C66" s="213"/>
      <c r="D66" s="172">
        <f aca="true" t="shared" si="11" ref="D66:I66">D61+D62+D65</f>
        <v>753741.5860700001</v>
      </c>
      <c r="E66" s="172">
        <f t="shared" si="11"/>
        <v>178214.77894500404</v>
      </c>
      <c r="F66" s="172">
        <f t="shared" si="11"/>
        <v>180897.98065680003</v>
      </c>
      <c r="G66" s="172">
        <f t="shared" si="11"/>
        <v>0</v>
      </c>
      <c r="H66" s="172">
        <f t="shared" si="11"/>
        <v>934639.5667268</v>
      </c>
      <c r="I66" s="173">
        <f t="shared" si="11"/>
        <v>220986.325891805</v>
      </c>
      <c r="K66" s="7"/>
      <c r="L66" s="7" t="e">
        <f>E66+E38+E39+E40+#REF!</f>
        <v>#REF!</v>
      </c>
    </row>
    <row r="67" spans="2:11" ht="12.75">
      <c r="B67" s="214"/>
      <c r="C67" s="220" t="s">
        <v>88</v>
      </c>
      <c r="D67" s="220"/>
      <c r="E67" s="220"/>
      <c r="F67" s="220"/>
      <c r="G67" s="220"/>
      <c r="H67" s="220"/>
      <c r="I67" s="221"/>
      <c r="K67" s="7"/>
    </row>
    <row r="68" spans="2:11" ht="13.5" thickBot="1">
      <c r="B68" s="215"/>
      <c r="C68" s="222" t="s">
        <v>104</v>
      </c>
      <c r="D68" s="222"/>
      <c r="E68" s="222"/>
      <c r="F68" s="222"/>
      <c r="G68" s="222"/>
      <c r="H68" s="222"/>
      <c r="I68" s="223"/>
      <c r="K68" s="7"/>
    </row>
    <row r="69" spans="2:11" ht="12.75">
      <c r="B69" s="189" t="s">
        <v>22</v>
      </c>
      <c r="C69" s="166" t="s">
        <v>23</v>
      </c>
      <c r="D69" s="166"/>
      <c r="E69" s="166"/>
      <c r="F69" s="166"/>
      <c r="G69" s="166"/>
      <c r="H69" s="166"/>
      <c r="I69" s="188"/>
      <c r="K69" s="7"/>
    </row>
    <row r="70" spans="2:11" ht="13.5" thickBot="1">
      <c r="B70" s="190" t="s">
        <v>24</v>
      </c>
      <c r="C70" s="157" t="s">
        <v>105</v>
      </c>
      <c r="D70" s="157"/>
      <c r="E70" s="157"/>
      <c r="F70" s="157"/>
      <c r="G70" s="157"/>
      <c r="H70" s="157"/>
      <c r="I70" s="161"/>
      <c r="K70" s="7"/>
    </row>
    <row r="71" spans="2:11" ht="12.75">
      <c r="B71" s="216" t="s">
        <v>25</v>
      </c>
      <c r="C71" s="217"/>
      <c r="D71" s="191">
        <f aca="true" t="shared" si="12" ref="D71:I71">D69+D70</f>
        <v>0</v>
      </c>
      <c r="E71" s="191">
        <f t="shared" si="12"/>
        <v>0</v>
      </c>
      <c r="F71" s="191">
        <f t="shared" si="12"/>
        <v>0</v>
      </c>
      <c r="G71" s="191">
        <f t="shared" si="12"/>
        <v>0</v>
      </c>
      <c r="H71" s="191">
        <f t="shared" si="12"/>
        <v>0</v>
      </c>
      <c r="I71" s="192">
        <f t="shared" si="12"/>
        <v>0</v>
      </c>
      <c r="K71" s="7"/>
    </row>
    <row r="72" spans="2:11" ht="12.75">
      <c r="B72" s="208" t="s">
        <v>21</v>
      </c>
      <c r="C72" s="209"/>
      <c r="D72" s="108">
        <f aca="true" t="shared" si="13" ref="D72:I72">D23+D35+D44+D58+D66+D71</f>
        <v>15980534.96607</v>
      </c>
      <c r="E72" s="108">
        <f t="shared" si="13"/>
        <v>3778440.196261882</v>
      </c>
      <c r="F72" s="108">
        <f t="shared" si="13"/>
        <v>3832036.3382567996</v>
      </c>
      <c r="G72" s="108">
        <f t="shared" si="13"/>
        <v>0</v>
      </c>
      <c r="H72" s="108">
        <f t="shared" si="13"/>
        <v>19798029.6543268</v>
      </c>
      <c r="I72" s="110">
        <f t="shared" si="13"/>
        <v>15970466.393800125</v>
      </c>
      <c r="K72" s="7"/>
    </row>
    <row r="73" spans="2:16" ht="13.5" thickBot="1">
      <c r="B73" s="218" t="s">
        <v>26</v>
      </c>
      <c r="C73" s="219"/>
      <c r="D73" s="128">
        <f>D23+D35+D47+D61</f>
        <v>14612143.25</v>
      </c>
      <c r="E73" s="128">
        <f>E23+E35+E47+E61</f>
        <v>3454897.4440819034</v>
      </c>
      <c r="F73" s="128">
        <f>F23+F35+F47+F61</f>
        <v>3506914.38</v>
      </c>
      <c r="G73" s="128">
        <f>G23+G35+G48+G61</f>
        <v>0</v>
      </c>
      <c r="H73" s="128">
        <f>H23+H35+H47+H61</f>
        <v>18119057.63</v>
      </c>
      <c r="I73" s="129">
        <f>I23+I35+I47+I61</f>
        <v>15570051.754766975</v>
      </c>
      <c r="K73" s="7">
        <f>E18+E21+E35+E47+E53</f>
        <v>3426066.4609637307</v>
      </c>
      <c r="P73" s="26"/>
    </row>
    <row r="74" spans="2:11" ht="12.75">
      <c r="B74" s="210"/>
      <c r="C74" s="226" t="s">
        <v>27</v>
      </c>
      <c r="D74" s="226"/>
      <c r="E74" s="226"/>
      <c r="F74" s="226"/>
      <c r="G74" s="226"/>
      <c r="H74" s="226"/>
      <c r="I74" s="227"/>
      <c r="K74" s="7"/>
    </row>
    <row r="75" spans="2:11" ht="13.5" thickBot="1">
      <c r="B75" s="211"/>
      <c r="C75" s="228" t="s">
        <v>28</v>
      </c>
      <c r="D75" s="228"/>
      <c r="E75" s="228"/>
      <c r="F75" s="228"/>
      <c r="G75" s="228"/>
      <c r="H75" s="228"/>
      <c r="I75" s="229"/>
      <c r="K75" s="7"/>
    </row>
    <row r="76" spans="2:11" ht="13.5" thickBot="1">
      <c r="B76" s="193"/>
      <c r="C76" s="194"/>
      <c r="D76" s="195"/>
      <c r="E76" s="195"/>
      <c r="F76" s="195"/>
      <c r="G76" s="195"/>
      <c r="H76" s="196"/>
      <c r="I76" s="197"/>
      <c r="K76" s="7"/>
    </row>
    <row r="77" spans="2:11" ht="12.75">
      <c r="B77" s="215"/>
      <c r="C77" s="222" t="s">
        <v>29</v>
      </c>
      <c r="D77" s="222"/>
      <c r="E77" s="222"/>
      <c r="F77" s="222"/>
      <c r="G77" s="222"/>
      <c r="H77" s="222"/>
      <c r="I77" s="223"/>
      <c r="K77" s="7"/>
    </row>
    <row r="78" spans="2:11" ht="13.5" thickBot="1">
      <c r="B78" s="215"/>
      <c r="C78" s="222" t="s">
        <v>30</v>
      </c>
      <c r="D78" s="222"/>
      <c r="E78" s="222"/>
      <c r="F78" s="222"/>
      <c r="G78" s="222"/>
      <c r="H78" s="222"/>
      <c r="I78" s="223"/>
      <c r="K78" s="7"/>
    </row>
    <row r="79" spans="2:11" ht="12.75">
      <c r="B79" s="224"/>
      <c r="C79" s="225"/>
      <c r="D79" s="198"/>
      <c r="E79" s="198"/>
      <c r="F79" s="198"/>
      <c r="G79" s="199"/>
      <c r="H79" s="166"/>
      <c r="I79" s="188"/>
      <c r="K79" s="7"/>
    </row>
    <row r="80" spans="2:13" ht="12.75">
      <c r="B80" s="208" t="s">
        <v>21</v>
      </c>
      <c r="C80" s="209"/>
      <c r="D80" s="108">
        <f aca="true" t="shared" si="14" ref="D80:H81">D72</f>
        <v>15980534.96607</v>
      </c>
      <c r="E80" s="108">
        <f t="shared" si="14"/>
        <v>3778440.196261882</v>
      </c>
      <c r="F80" s="108">
        <f t="shared" si="14"/>
        <v>3832036.3382567996</v>
      </c>
      <c r="G80" s="115">
        <f t="shared" si="14"/>
        <v>0</v>
      </c>
      <c r="H80" s="108">
        <f t="shared" si="14"/>
        <v>19798029.6543268</v>
      </c>
      <c r="I80" s="110">
        <f>I72</f>
        <v>15970466.393800125</v>
      </c>
      <c r="K80" s="7"/>
      <c r="M80" s="26">
        <v>19798029.65</v>
      </c>
    </row>
    <row r="81" spans="2:11" ht="13.5" thickBot="1">
      <c r="B81" s="218" t="s">
        <v>26</v>
      </c>
      <c r="C81" s="219"/>
      <c r="D81" s="128">
        <f t="shared" si="14"/>
        <v>14612143.25</v>
      </c>
      <c r="E81" s="128">
        <f t="shared" si="14"/>
        <v>3454897.4440819034</v>
      </c>
      <c r="F81" s="128">
        <f t="shared" si="14"/>
        <v>3506914.38</v>
      </c>
      <c r="G81" s="128">
        <f t="shared" si="14"/>
        <v>0</v>
      </c>
      <c r="H81" s="128">
        <f t="shared" si="14"/>
        <v>18119057.63</v>
      </c>
      <c r="I81" s="129">
        <f>I73</f>
        <v>15570051.754766975</v>
      </c>
      <c r="K81" s="204">
        <v>1.1643</v>
      </c>
    </row>
    <row r="84" ht="12.75">
      <c r="H84" t="s">
        <v>186</v>
      </c>
    </row>
    <row r="85" ht="12.75">
      <c r="H85" t="s">
        <v>187</v>
      </c>
    </row>
    <row r="92" spans="4:8" ht="12.75">
      <c r="D92">
        <f>D80/K81</f>
        <v>13725444.443931978</v>
      </c>
      <c r="H92">
        <f>H80/K81</f>
        <v>17004234.00697999</v>
      </c>
    </row>
    <row r="93" spans="4:8" ht="12.75">
      <c r="D93">
        <f>D81/K81</f>
        <v>12550153.09628103</v>
      </c>
      <c r="H93">
        <f>H81/K81</f>
        <v>15562189.839388475</v>
      </c>
    </row>
  </sheetData>
  <sheetProtection/>
  <mergeCells count="43">
    <mergeCell ref="B14:B16"/>
    <mergeCell ref="C15:I15"/>
    <mergeCell ref="C16:I16"/>
    <mergeCell ref="B6:H6"/>
    <mergeCell ref="B7:H7"/>
    <mergeCell ref="B8:H8"/>
    <mergeCell ref="C10:C12"/>
    <mergeCell ref="D10:E10"/>
    <mergeCell ref="H10:I10"/>
    <mergeCell ref="I11:I12"/>
    <mergeCell ref="B35:C35"/>
    <mergeCell ref="B36:B37"/>
    <mergeCell ref="C36:I36"/>
    <mergeCell ref="C37:I37"/>
    <mergeCell ref="B23:C23"/>
    <mergeCell ref="B24:B25"/>
    <mergeCell ref="C24:I24"/>
    <mergeCell ref="C25:I25"/>
    <mergeCell ref="B58:C58"/>
    <mergeCell ref="B59:B60"/>
    <mergeCell ref="C59:I59"/>
    <mergeCell ref="C60:I60"/>
    <mergeCell ref="B44:C44"/>
    <mergeCell ref="B45:B46"/>
    <mergeCell ref="C45:I45"/>
    <mergeCell ref="C46:I46"/>
    <mergeCell ref="B81:C81"/>
    <mergeCell ref="B77:B78"/>
    <mergeCell ref="B79:C79"/>
    <mergeCell ref="C77:I77"/>
    <mergeCell ref="C78:I78"/>
    <mergeCell ref="C74:I74"/>
    <mergeCell ref="C75:I75"/>
    <mergeCell ref="C14:I14"/>
    <mergeCell ref="B80:C80"/>
    <mergeCell ref="B74:B75"/>
    <mergeCell ref="B66:C66"/>
    <mergeCell ref="B67:B68"/>
    <mergeCell ref="B71:C71"/>
    <mergeCell ref="B72:C72"/>
    <mergeCell ref="B73:C73"/>
    <mergeCell ref="C67:I67"/>
    <mergeCell ref="C68:I68"/>
  </mergeCells>
  <printOptions/>
  <pageMargins left="0.26" right="0.25" top="1" bottom="1" header="0.5" footer="0.5"/>
  <pageSetup horizontalDpi="600" verticalDpi="600" orientation="landscape" paperSize="9" scale="78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P33"/>
  <sheetViews>
    <sheetView view="pageBreakPreview" zoomScaleSheetLayoutView="100" zoomScalePageLayoutView="0" workbookViewId="0" topLeftCell="A1">
      <selection activeCell="D16" sqref="D16"/>
    </sheetView>
  </sheetViews>
  <sheetFormatPr defaultColWidth="9.140625" defaultRowHeight="12.75"/>
  <cols>
    <col min="2" max="2" width="5.421875" style="0" customWidth="1"/>
    <col min="3" max="3" width="54.00390625" style="0" customWidth="1"/>
    <col min="4" max="4" width="10.140625" style="10" bestFit="1" customWidth="1"/>
    <col min="5" max="5" width="9.00390625" style="10" customWidth="1"/>
    <col min="6" max="6" width="9.28125" style="0" bestFit="1" customWidth="1"/>
    <col min="7" max="7" width="10.7109375" style="0" customWidth="1"/>
    <col min="8" max="8" width="10.28125" style="0" customWidth="1"/>
    <col min="12" max="12" width="12.421875" style="0" customWidth="1"/>
  </cols>
  <sheetData>
    <row r="2" ht="12.75">
      <c r="B2" t="s">
        <v>14</v>
      </c>
    </row>
    <row r="3" ht="12.75">
      <c r="B3" s="6" t="s">
        <v>32</v>
      </c>
    </row>
    <row r="5" ht="12.75">
      <c r="B5" t="s">
        <v>169</v>
      </c>
    </row>
    <row r="7" spans="4:5" ht="12.75">
      <c r="D7" s="16"/>
      <c r="E7" s="16"/>
    </row>
    <row r="8" spans="4:6" ht="13.5" thickBot="1">
      <c r="D8" s="15" t="s">
        <v>15</v>
      </c>
      <c r="E8" s="18">
        <f>'deviz general'!E9</f>
        <v>4.2294</v>
      </c>
      <c r="F8" s="17"/>
    </row>
    <row r="9" spans="2:8" ht="12.75" customHeight="1">
      <c r="B9" s="63" t="s">
        <v>38</v>
      </c>
      <c r="C9" s="259" t="s">
        <v>39</v>
      </c>
      <c r="D9" s="254" t="s">
        <v>93</v>
      </c>
      <c r="E9" s="258"/>
      <c r="F9" s="60" t="s">
        <v>94</v>
      </c>
      <c r="G9" s="254" t="s">
        <v>95</v>
      </c>
      <c r="H9" s="255"/>
    </row>
    <row r="10" spans="2:8" ht="12.75">
      <c r="B10" s="19" t="s">
        <v>40</v>
      </c>
      <c r="C10" s="260"/>
      <c r="D10" s="64"/>
      <c r="E10" s="25"/>
      <c r="F10" s="61"/>
      <c r="G10" s="62"/>
      <c r="H10" s="256" t="s">
        <v>0</v>
      </c>
    </row>
    <row r="11" spans="2:8" ht="13.5" thickBot="1">
      <c r="B11" s="20"/>
      <c r="C11" s="261"/>
      <c r="D11" s="70" t="s">
        <v>31</v>
      </c>
      <c r="E11" s="70" t="s">
        <v>0</v>
      </c>
      <c r="F11" s="70" t="s">
        <v>31</v>
      </c>
      <c r="G11" s="70" t="s">
        <v>31</v>
      </c>
      <c r="H11" s="257"/>
    </row>
    <row r="12" spans="2:8" ht="13.5" thickBot="1">
      <c r="B12" s="21">
        <v>1</v>
      </c>
      <c r="C12" s="71">
        <v>2</v>
      </c>
      <c r="D12" s="68">
        <v>3</v>
      </c>
      <c r="E12" s="68">
        <v>4</v>
      </c>
      <c r="F12" s="68">
        <v>5</v>
      </c>
      <c r="G12" s="68">
        <v>6</v>
      </c>
      <c r="H12" s="69">
        <v>7</v>
      </c>
    </row>
    <row r="13" spans="2:15" ht="12.75">
      <c r="B13" s="4"/>
      <c r="C13" s="22" t="s">
        <v>4</v>
      </c>
      <c r="D13" s="29"/>
      <c r="E13" s="67"/>
      <c r="F13" s="29"/>
      <c r="G13" s="29"/>
      <c r="H13" s="30"/>
      <c r="O13" t="s">
        <v>128</v>
      </c>
    </row>
    <row r="14" spans="2:16" ht="12.75">
      <c r="B14" s="2">
        <v>1</v>
      </c>
      <c r="C14" s="1" t="s">
        <v>5</v>
      </c>
      <c r="D14" s="27">
        <v>822736</v>
      </c>
      <c r="E14" s="65">
        <f>D14/E8</f>
        <v>194527.82900647845</v>
      </c>
      <c r="F14" s="80">
        <f>D14*0.24</f>
        <v>197456.63999999998</v>
      </c>
      <c r="G14" s="27">
        <f>D14*1.24</f>
        <v>1020192.64</v>
      </c>
      <c r="H14" s="28">
        <f>E14*1.24</f>
        <v>241214.5079680333</v>
      </c>
      <c r="L14" t="s">
        <v>115</v>
      </c>
      <c r="M14" t="s">
        <v>145</v>
      </c>
      <c r="N14">
        <v>1500</v>
      </c>
      <c r="O14">
        <v>12</v>
      </c>
      <c r="P14">
        <f>O14*N14</f>
        <v>18000</v>
      </c>
    </row>
    <row r="15" spans="2:16" ht="12.75">
      <c r="B15" s="2">
        <v>2</v>
      </c>
      <c r="C15" s="1" t="s">
        <v>106</v>
      </c>
      <c r="D15" s="8">
        <v>347993.5</v>
      </c>
      <c r="E15" s="65">
        <f>D15/E8</f>
        <v>82279.63777367948</v>
      </c>
      <c r="F15" s="80">
        <f>D15*0.24</f>
        <v>83518.44</v>
      </c>
      <c r="G15" s="27">
        <f>D15*1.24</f>
        <v>431511.94</v>
      </c>
      <c r="H15" s="28">
        <f>E15*1.24</f>
        <v>102026.75083936256</v>
      </c>
      <c r="L15" t="s">
        <v>116</v>
      </c>
      <c r="M15" t="s">
        <v>146</v>
      </c>
      <c r="N15">
        <v>500</v>
      </c>
      <c r="O15">
        <v>50</v>
      </c>
      <c r="P15">
        <f>O15*N15</f>
        <v>25000</v>
      </c>
    </row>
    <row r="16" spans="2:8" ht="12.75">
      <c r="B16" s="2">
        <v>3</v>
      </c>
      <c r="C16" s="1" t="s">
        <v>6</v>
      </c>
      <c r="D16" s="27">
        <v>0</v>
      </c>
      <c r="E16" s="65">
        <f>D16/E8</f>
        <v>0</v>
      </c>
      <c r="F16" s="80">
        <f aca="true" t="shared" si="0" ref="F16:F21">D16*0.19</f>
        <v>0</v>
      </c>
      <c r="G16" s="27">
        <f aca="true" t="shared" si="1" ref="G16:G21">D16*1.19</f>
        <v>0</v>
      </c>
      <c r="H16" s="28">
        <f aca="true" t="shared" si="2" ref="H16:H21">E16*1.19</f>
        <v>0</v>
      </c>
    </row>
    <row r="17" spans="2:8" ht="12.75">
      <c r="B17" s="2">
        <v>4</v>
      </c>
      <c r="C17" s="1" t="s">
        <v>1</v>
      </c>
      <c r="D17" s="27">
        <v>0</v>
      </c>
      <c r="E17" s="65">
        <f>D17/E8</f>
        <v>0</v>
      </c>
      <c r="F17" s="80">
        <f t="shared" si="0"/>
        <v>0</v>
      </c>
      <c r="G17" s="27">
        <f t="shared" si="1"/>
        <v>0</v>
      </c>
      <c r="H17" s="28">
        <f t="shared" si="2"/>
        <v>0</v>
      </c>
    </row>
    <row r="18" spans="2:8" ht="12.75">
      <c r="B18" s="2">
        <v>5</v>
      </c>
      <c r="C18" s="1" t="s">
        <v>2</v>
      </c>
      <c r="D18" s="27">
        <v>0</v>
      </c>
      <c r="E18" s="65">
        <f>D18/E8</f>
        <v>0</v>
      </c>
      <c r="F18" s="80">
        <f t="shared" si="0"/>
        <v>0</v>
      </c>
      <c r="G18" s="27">
        <f t="shared" si="1"/>
        <v>0</v>
      </c>
      <c r="H18" s="28">
        <f t="shared" si="2"/>
        <v>0</v>
      </c>
    </row>
    <row r="19" spans="2:8" ht="12.75">
      <c r="B19" s="2">
        <v>6</v>
      </c>
      <c r="C19" s="1" t="s">
        <v>107</v>
      </c>
      <c r="D19" s="27">
        <v>0</v>
      </c>
      <c r="E19" s="65">
        <f>D19/E8</f>
        <v>0</v>
      </c>
      <c r="F19" s="80">
        <f t="shared" si="0"/>
        <v>0</v>
      </c>
      <c r="G19" s="27">
        <f t="shared" si="1"/>
        <v>0</v>
      </c>
      <c r="H19" s="28">
        <f t="shared" si="2"/>
        <v>0</v>
      </c>
    </row>
    <row r="20" spans="2:8" ht="12.75">
      <c r="B20" s="2">
        <v>7</v>
      </c>
      <c r="C20" s="1" t="s">
        <v>108</v>
      </c>
      <c r="D20" s="27">
        <v>0</v>
      </c>
      <c r="E20" s="65">
        <f>D20/E8</f>
        <v>0</v>
      </c>
      <c r="F20" s="80">
        <f t="shared" si="0"/>
        <v>0</v>
      </c>
      <c r="G20" s="27">
        <f t="shared" si="1"/>
        <v>0</v>
      </c>
      <c r="H20" s="28">
        <f t="shared" si="2"/>
        <v>0</v>
      </c>
    </row>
    <row r="21" spans="2:8" ht="12.75">
      <c r="B21" s="2">
        <v>8</v>
      </c>
      <c r="C21" s="1" t="s">
        <v>7</v>
      </c>
      <c r="D21" s="27">
        <v>0</v>
      </c>
      <c r="E21" s="65">
        <f>D21/E8</f>
        <v>0</v>
      </c>
      <c r="F21" s="80">
        <f t="shared" si="0"/>
        <v>0</v>
      </c>
      <c r="G21" s="27">
        <f t="shared" si="1"/>
        <v>0</v>
      </c>
      <c r="H21" s="28">
        <f t="shared" si="2"/>
        <v>0</v>
      </c>
    </row>
    <row r="22" spans="2:8" ht="13.5" thickBot="1">
      <c r="B22" s="2"/>
      <c r="C22" s="23" t="s">
        <v>109</v>
      </c>
      <c r="D22" s="31">
        <f>E22*E8</f>
        <v>1170729.5</v>
      </c>
      <c r="E22" s="66">
        <f>SUM(E14:E21)</f>
        <v>276807.46678015793</v>
      </c>
      <c r="F22" s="80">
        <f>D22*0.24</f>
        <v>280975.08</v>
      </c>
      <c r="G22" s="27">
        <f>D22*1.24</f>
        <v>1451704.58</v>
      </c>
      <c r="H22" s="28">
        <f>E22*1.24</f>
        <v>343241.2588073958</v>
      </c>
    </row>
    <row r="23" spans="2:8" ht="12.75">
      <c r="B23" s="4"/>
      <c r="C23" s="22" t="s">
        <v>8</v>
      </c>
      <c r="D23" s="29"/>
      <c r="E23" s="67"/>
      <c r="F23" s="29"/>
      <c r="G23" s="29"/>
      <c r="H23" s="30"/>
    </row>
    <row r="24" spans="2:8" ht="12.75">
      <c r="B24" s="2"/>
      <c r="C24" s="1" t="s">
        <v>9</v>
      </c>
      <c r="D24" s="8">
        <f>E24*E19</f>
        <v>0</v>
      </c>
      <c r="E24" s="65">
        <v>0</v>
      </c>
      <c r="F24" s="80">
        <f>D24*0.19</f>
        <v>0</v>
      </c>
      <c r="G24" s="27">
        <f>D24*1.19</f>
        <v>0</v>
      </c>
      <c r="H24" s="28">
        <f>E24*1.19</f>
        <v>0</v>
      </c>
    </row>
    <row r="25" spans="2:8" ht="13.5" thickBot="1">
      <c r="B25" s="2"/>
      <c r="C25" s="23" t="s">
        <v>110</v>
      </c>
      <c r="D25" s="31">
        <f>D24</f>
        <v>0</v>
      </c>
      <c r="E25" s="66">
        <f>E24</f>
        <v>0</v>
      </c>
      <c r="F25" s="80">
        <f>D25*0.19</f>
        <v>0</v>
      </c>
      <c r="G25" s="27">
        <f>D25*1.19</f>
        <v>0</v>
      </c>
      <c r="H25" s="28">
        <f>E25*1.19</f>
        <v>0</v>
      </c>
    </row>
    <row r="26" spans="2:8" ht="12.75">
      <c r="B26" s="4"/>
      <c r="C26" s="22" t="s">
        <v>10</v>
      </c>
      <c r="D26" s="29"/>
      <c r="E26" s="67"/>
      <c r="F26" s="29"/>
      <c r="G26" s="29"/>
      <c r="H26" s="30"/>
    </row>
    <row r="27" spans="2:8" ht="12.75">
      <c r="B27" s="2"/>
      <c r="C27" s="1" t="s">
        <v>11</v>
      </c>
      <c r="D27" s="27">
        <f>E27*E8</f>
        <v>0</v>
      </c>
      <c r="E27" s="65">
        <v>0</v>
      </c>
      <c r="F27" s="80">
        <f>D27*0.19</f>
        <v>0</v>
      </c>
      <c r="G27" s="27">
        <f aca="true" t="shared" si="3" ref="G27:H30">D27*1.19</f>
        <v>0</v>
      </c>
      <c r="H27" s="28">
        <f t="shared" si="3"/>
        <v>0</v>
      </c>
    </row>
    <row r="28" spans="2:8" ht="12.75">
      <c r="B28" s="2"/>
      <c r="C28" s="1" t="s">
        <v>12</v>
      </c>
      <c r="D28" s="27">
        <f>E28*E23</f>
        <v>0</v>
      </c>
      <c r="E28" s="65">
        <v>0</v>
      </c>
      <c r="F28" s="80">
        <f>D28*0.19</f>
        <v>0</v>
      </c>
      <c r="G28" s="27">
        <f t="shared" si="3"/>
        <v>0</v>
      </c>
      <c r="H28" s="28">
        <f t="shared" si="3"/>
        <v>0</v>
      </c>
    </row>
    <row r="29" spans="2:8" ht="12.75">
      <c r="B29" s="2"/>
      <c r="C29" s="1" t="s">
        <v>3</v>
      </c>
      <c r="D29" s="27">
        <f>E29*E24</f>
        <v>0</v>
      </c>
      <c r="E29" s="65">
        <v>0</v>
      </c>
      <c r="F29" s="80">
        <f>D29*0.19</f>
        <v>0</v>
      </c>
      <c r="G29" s="27">
        <f t="shared" si="3"/>
        <v>0</v>
      </c>
      <c r="H29" s="28">
        <f t="shared" si="3"/>
        <v>0</v>
      </c>
    </row>
    <row r="30" spans="2:8" ht="13.5" thickBot="1">
      <c r="B30" s="72"/>
      <c r="C30" s="73" t="s">
        <v>111</v>
      </c>
      <c r="D30" s="74">
        <f>E30*E25</f>
        <v>0</v>
      </c>
      <c r="E30" s="75">
        <v>0</v>
      </c>
      <c r="F30" s="81">
        <f>D30*0.19</f>
        <v>0</v>
      </c>
      <c r="G30" s="74">
        <f t="shared" si="3"/>
        <v>0</v>
      </c>
      <c r="H30" s="82">
        <f t="shared" si="3"/>
        <v>0</v>
      </c>
    </row>
    <row r="31" spans="2:8" ht="12.75">
      <c r="B31" s="4"/>
      <c r="C31" s="5"/>
      <c r="D31" s="76"/>
      <c r="E31" s="77"/>
      <c r="F31" s="29"/>
      <c r="G31" s="29"/>
      <c r="H31" s="30"/>
    </row>
    <row r="32" spans="2:8" ht="13.5" thickBot="1">
      <c r="B32" s="3"/>
      <c r="C32" s="24" t="s">
        <v>13</v>
      </c>
      <c r="D32" s="78">
        <f>E32*E8</f>
        <v>1170729.5</v>
      </c>
      <c r="E32" s="79">
        <f>SUM(E22,E25,E30)</f>
        <v>276807.46678015793</v>
      </c>
      <c r="F32" s="83">
        <f>D32*0.24</f>
        <v>280975.08</v>
      </c>
      <c r="G32" s="32">
        <f>D32*1.24</f>
        <v>1451704.58</v>
      </c>
      <c r="H32" s="33">
        <f>E32*1.24</f>
        <v>343241.2588073958</v>
      </c>
    </row>
    <row r="33" spans="4:5" ht="12.75">
      <c r="D33" s="7"/>
      <c r="E33" s="7"/>
    </row>
  </sheetData>
  <sheetProtection/>
  <mergeCells count="4">
    <mergeCell ref="G9:H9"/>
    <mergeCell ref="H10:H11"/>
    <mergeCell ref="D9:E9"/>
    <mergeCell ref="C9:C11"/>
  </mergeCells>
  <printOptions/>
  <pageMargins left="0.5118110236220472" right="0.5118110236220472" top="0.5905511811023623" bottom="0.5905511811023623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8"/>
  <sheetViews>
    <sheetView view="pageBreakPreview" zoomScaleSheetLayoutView="100" zoomScalePageLayoutView="0" workbookViewId="0" topLeftCell="A1">
      <selection activeCell="D16" sqref="D16"/>
    </sheetView>
  </sheetViews>
  <sheetFormatPr defaultColWidth="9.140625" defaultRowHeight="12.75"/>
  <cols>
    <col min="2" max="2" width="5.421875" style="0" customWidth="1"/>
    <col min="3" max="3" width="54.00390625" style="0" customWidth="1"/>
    <col min="4" max="4" width="9.28125" style="10" bestFit="1" customWidth="1"/>
    <col min="5" max="5" width="8.7109375" style="10" customWidth="1"/>
    <col min="7" max="7" width="10.57421875" style="0" customWidth="1"/>
    <col min="8" max="8" width="10.8515625" style="0" customWidth="1"/>
  </cols>
  <sheetData>
    <row r="2" ht="12.75">
      <c r="B2" t="s">
        <v>14</v>
      </c>
    </row>
    <row r="3" ht="12.75">
      <c r="B3" s="6" t="s">
        <v>33</v>
      </c>
    </row>
    <row r="5" ht="12.75">
      <c r="B5" t="s">
        <v>169</v>
      </c>
    </row>
    <row r="7" spans="4:5" ht="12.75">
      <c r="D7" s="11"/>
      <c r="E7" s="11"/>
    </row>
    <row r="8" spans="4:6" ht="13.5" thickBot="1">
      <c r="D8" s="15" t="s">
        <v>15</v>
      </c>
      <c r="E8" s="18">
        <f>'deviz general'!E9</f>
        <v>4.2294</v>
      </c>
      <c r="F8" s="17"/>
    </row>
    <row r="9" spans="2:8" ht="12.75" customHeight="1">
      <c r="B9" s="63" t="s">
        <v>38</v>
      </c>
      <c r="C9" s="259" t="s">
        <v>39</v>
      </c>
      <c r="D9" s="254" t="s">
        <v>93</v>
      </c>
      <c r="E9" s="258"/>
      <c r="F9" s="60" t="s">
        <v>94</v>
      </c>
      <c r="G9" s="254" t="s">
        <v>95</v>
      </c>
      <c r="H9" s="255"/>
    </row>
    <row r="10" spans="2:8" ht="12.75">
      <c r="B10" s="19" t="s">
        <v>40</v>
      </c>
      <c r="C10" s="260"/>
      <c r="D10" s="64"/>
      <c r="E10" s="25"/>
      <c r="F10" s="61"/>
      <c r="G10" s="62"/>
      <c r="H10" s="256" t="s">
        <v>0</v>
      </c>
    </row>
    <row r="11" spans="2:8" ht="13.5" thickBot="1">
      <c r="B11" s="20"/>
      <c r="C11" s="261"/>
      <c r="D11" s="70" t="s">
        <v>31</v>
      </c>
      <c r="E11" s="70" t="s">
        <v>0</v>
      </c>
      <c r="F11" s="70" t="s">
        <v>31</v>
      </c>
      <c r="G11" s="70" t="s">
        <v>31</v>
      </c>
      <c r="H11" s="257"/>
    </row>
    <row r="12" spans="2:8" ht="13.5" thickBot="1">
      <c r="B12" s="21">
        <v>1</v>
      </c>
      <c r="C12" s="71">
        <v>2</v>
      </c>
      <c r="D12" s="68">
        <v>3</v>
      </c>
      <c r="E12" s="68">
        <v>4</v>
      </c>
      <c r="F12" s="68">
        <v>5</v>
      </c>
      <c r="G12" s="68">
        <v>6</v>
      </c>
      <c r="H12" s="69">
        <v>7</v>
      </c>
    </row>
    <row r="13" spans="2:8" ht="12.75">
      <c r="B13" s="4"/>
      <c r="C13" s="22" t="s">
        <v>4</v>
      </c>
      <c r="D13" s="29"/>
      <c r="E13" s="67"/>
      <c r="F13" s="29"/>
      <c r="G13" s="29"/>
      <c r="H13" s="30"/>
    </row>
    <row r="14" spans="2:8" ht="12.75">
      <c r="B14" s="2">
        <v>1</v>
      </c>
      <c r="C14" s="1" t="s">
        <v>5</v>
      </c>
      <c r="D14" s="27">
        <f>E14*E8</f>
        <v>0</v>
      </c>
      <c r="E14" s="65">
        <v>0</v>
      </c>
      <c r="F14" s="80">
        <f>D14*0.19</f>
        <v>0</v>
      </c>
      <c r="G14" s="27">
        <f>D14*1.19</f>
        <v>0</v>
      </c>
      <c r="H14" s="28">
        <f>E14*1.19</f>
        <v>0</v>
      </c>
    </row>
    <row r="15" spans="2:12" ht="12.75">
      <c r="B15" s="2">
        <v>2</v>
      </c>
      <c r="C15" s="1" t="s">
        <v>112</v>
      </c>
      <c r="D15" s="8">
        <v>185871</v>
      </c>
      <c r="E15" s="65">
        <f>D15/E8</f>
        <v>43947.36842105263</v>
      </c>
      <c r="F15" s="80">
        <f>D15*0.24</f>
        <v>44609.04</v>
      </c>
      <c r="G15" s="27">
        <f>D15*1.24</f>
        <v>230480.04</v>
      </c>
      <c r="H15" s="28">
        <f>E15*1.24</f>
        <v>54494.73684210527</v>
      </c>
      <c r="L15" t="s">
        <v>117</v>
      </c>
    </row>
    <row r="16" spans="2:12" ht="12.75">
      <c r="B16" s="2">
        <v>3</v>
      </c>
      <c r="C16" s="1" t="s">
        <v>6</v>
      </c>
      <c r="D16" s="27">
        <v>0</v>
      </c>
      <c r="E16" s="65">
        <f>D16/E8</f>
        <v>0</v>
      </c>
      <c r="F16" s="80">
        <f aca="true" t="shared" si="0" ref="F16:F21">D16*0.19</f>
        <v>0</v>
      </c>
      <c r="G16" s="27">
        <f aca="true" t="shared" si="1" ref="G16:H21">D16*1.19</f>
        <v>0</v>
      </c>
      <c r="H16" s="28">
        <f t="shared" si="1"/>
        <v>0</v>
      </c>
      <c r="L16" t="s">
        <v>118</v>
      </c>
    </row>
    <row r="17" spans="2:8" ht="12.75">
      <c r="B17" s="2">
        <v>4</v>
      </c>
      <c r="C17" s="1" t="s">
        <v>1</v>
      </c>
      <c r="D17" s="27">
        <v>0</v>
      </c>
      <c r="E17" s="65">
        <f>D17/E8</f>
        <v>0</v>
      </c>
      <c r="F17" s="80">
        <f t="shared" si="0"/>
        <v>0</v>
      </c>
      <c r="G17" s="27">
        <f t="shared" si="1"/>
        <v>0</v>
      </c>
      <c r="H17" s="28">
        <f t="shared" si="1"/>
        <v>0</v>
      </c>
    </row>
    <row r="18" spans="2:8" ht="12.75">
      <c r="B18" s="2">
        <v>5</v>
      </c>
      <c r="C18" s="1" t="s">
        <v>2</v>
      </c>
      <c r="D18" s="27">
        <v>0</v>
      </c>
      <c r="E18" s="65">
        <f>D18/E8</f>
        <v>0</v>
      </c>
      <c r="F18" s="80">
        <f t="shared" si="0"/>
        <v>0</v>
      </c>
      <c r="G18" s="27">
        <f t="shared" si="1"/>
        <v>0</v>
      </c>
      <c r="H18" s="28">
        <f t="shared" si="1"/>
        <v>0</v>
      </c>
    </row>
    <row r="19" spans="2:8" ht="12.75">
      <c r="B19" s="2">
        <v>6</v>
      </c>
      <c r="C19" s="1" t="s">
        <v>107</v>
      </c>
      <c r="D19" s="27">
        <v>0</v>
      </c>
      <c r="E19" s="65">
        <f>D19/E8</f>
        <v>0</v>
      </c>
      <c r="F19" s="80">
        <f t="shared" si="0"/>
        <v>0</v>
      </c>
      <c r="G19" s="27">
        <f t="shared" si="1"/>
        <v>0</v>
      </c>
      <c r="H19" s="28">
        <f t="shared" si="1"/>
        <v>0</v>
      </c>
    </row>
    <row r="20" spans="2:8" ht="12.75">
      <c r="B20" s="2">
        <v>7</v>
      </c>
      <c r="C20" s="1" t="s">
        <v>108</v>
      </c>
      <c r="D20" s="27">
        <v>0</v>
      </c>
      <c r="E20" s="65">
        <f>D20/E8</f>
        <v>0</v>
      </c>
      <c r="F20" s="80">
        <f t="shared" si="0"/>
        <v>0</v>
      </c>
      <c r="G20" s="27">
        <f t="shared" si="1"/>
        <v>0</v>
      </c>
      <c r="H20" s="28">
        <f t="shared" si="1"/>
        <v>0</v>
      </c>
    </row>
    <row r="21" spans="2:8" ht="12.75">
      <c r="B21" s="2">
        <v>8</v>
      </c>
      <c r="C21" s="1" t="s">
        <v>7</v>
      </c>
      <c r="D21" s="27">
        <v>0</v>
      </c>
      <c r="E21" s="65">
        <f>D21/E8</f>
        <v>0</v>
      </c>
      <c r="F21" s="80">
        <f t="shared" si="0"/>
        <v>0</v>
      </c>
      <c r="G21" s="27">
        <f t="shared" si="1"/>
        <v>0</v>
      </c>
      <c r="H21" s="28">
        <f t="shared" si="1"/>
        <v>0</v>
      </c>
    </row>
    <row r="22" spans="2:8" ht="13.5" thickBot="1">
      <c r="B22" s="2"/>
      <c r="C22" s="23" t="s">
        <v>109</v>
      </c>
      <c r="D22" s="31">
        <f>E22*E8</f>
        <v>185871</v>
      </c>
      <c r="E22" s="66">
        <f>SUM(E14:E21)</f>
        <v>43947.36842105263</v>
      </c>
      <c r="F22" s="80">
        <f>D22*0.24</f>
        <v>44609.04</v>
      </c>
      <c r="G22" s="27">
        <f>D22*1.24</f>
        <v>230480.04</v>
      </c>
      <c r="H22" s="28">
        <f>E22*1.24</f>
        <v>54494.73684210527</v>
      </c>
    </row>
    <row r="23" spans="2:8" ht="12.75">
      <c r="B23" s="4"/>
      <c r="C23" s="22" t="s">
        <v>8</v>
      </c>
      <c r="D23" s="29"/>
      <c r="E23" s="67"/>
      <c r="F23" s="29"/>
      <c r="G23" s="29"/>
      <c r="H23" s="30"/>
    </row>
    <row r="24" spans="2:8" ht="12.75">
      <c r="B24" s="2"/>
      <c r="C24" s="1" t="s">
        <v>9</v>
      </c>
      <c r="D24" s="8">
        <f>E24*E19</f>
        <v>0</v>
      </c>
      <c r="E24" s="65">
        <v>0</v>
      </c>
      <c r="F24" s="80">
        <f>D24*0.19</f>
        <v>0</v>
      </c>
      <c r="G24" s="27">
        <f>D24*1.19</f>
        <v>0</v>
      </c>
      <c r="H24" s="28">
        <f>E24*1.19</f>
        <v>0</v>
      </c>
    </row>
    <row r="25" spans="2:8" ht="13.5" thickBot="1">
      <c r="B25" s="2"/>
      <c r="C25" s="23" t="s">
        <v>110</v>
      </c>
      <c r="D25" s="31">
        <f>D24</f>
        <v>0</v>
      </c>
      <c r="E25" s="66">
        <f>E24</f>
        <v>0</v>
      </c>
      <c r="F25" s="80">
        <f>D25*0.19</f>
        <v>0</v>
      </c>
      <c r="G25" s="27">
        <f>D25*1.19</f>
        <v>0</v>
      </c>
      <c r="H25" s="28">
        <f>E25*1.19</f>
        <v>0</v>
      </c>
    </row>
    <row r="26" spans="2:8" ht="12.75">
      <c r="B26" s="4"/>
      <c r="C26" s="22" t="s">
        <v>10</v>
      </c>
      <c r="D26" s="29"/>
      <c r="E26" s="67"/>
      <c r="F26" s="29"/>
      <c r="G26" s="29"/>
      <c r="H26" s="30"/>
    </row>
    <row r="27" spans="2:8" ht="12.75">
      <c r="B27" s="2"/>
      <c r="C27" s="1" t="s">
        <v>11</v>
      </c>
      <c r="D27" s="27">
        <f>E27*E8</f>
        <v>0</v>
      </c>
      <c r="E27" s="65">
        <v>0</v>
      </c>
      <c r="F27" s="80">
        <f>D27*0.19</f>
        <v>0</v>
      </c>
      <c r="G27" s="27">
        <f>D27*1.19</f>
        <v>0</v>
      </c>
      <c r="H27" s="28">
        <f>E27*1.19</f>
        <v>0</v>
      </c>
    </row>
    <row r="28" spans="2:8" ht="12.75">
      <c r="B28" s="2"/>
      <c r="C28" s="1" t="s">
        <v>12</v>
      </c>
      <c r="D28" s="27">
        <f>E28*E23</f>
        <v>0</v>
      </c>
      <c r="E28" s="65">
        <v>0</v>
      </c>
      <c r="F28" s="80">
        <f>D28*0.19</f>
        <v>0</v>
      </c>
      <c r="G28" s="27">
        <f aca="true" t="shared" si="2" ref="G28:H30">D28*1.19</f>
        <v>0</v>
      </c>
      <c r="H28" s="28">
        <f t="shared" si="2"/>
        <v>0</v>
      </c>
    </row>
    <row r="29" spans="2:8" ht="12.75">
      <c r="B29" s="2"/>
      <c r="C29" s="1" t="s">
        <v>3</v>
      </c>
      <c r="D29" s="27">
        <f>E29*E24</f>
        <v>0</v>
      </c>
      <c r="E29" s="65">
        <v>0</v>
      </c>
      <c r="F29" s="80">
        <f>D29*0.19</f>
        <v>0</v>
      </c>
      <c r="G29" s="27">
        <f t="shared" si="2"/>
        <v>0</v>
      </c>
      <c r="H29" s="28">
        <f t="shared" si="2"/>
        <v>0</v>
      </c>
    </row>
    <row r="30" spans="2:8" ht="13.5" thickBot="1">
      <c r="B30" s="72"/>
      <c r="C30" s="73" t="s">
        <v>111</v>
      </c>
      <c r="D30" s="74">
        <f>E30*E25</f>
        <v>0</v>
      </c>
      <c r="E30" s="75">
        <v>0</v>
      </c>
      <c r="F30" s="81">
        <f>D30*0.19</f>
        <v>0</v>
      </c>
      <c r="G30" s="74">
        <f t="shared" si="2"/>
        <v>0</v>
      </c>
      <c r="H30" s="82">
        <f t="shared" si="2"/>
        <v>0</v>
      </c>
    </row>
    <row r="31" spans="2:8" ht="12.75">
      <c r="B31" s="4"/>
      <c r="C31" s="5"/>
      <c r="D31" s="76"/>
      <c r="E31" s="77"/>
      <c r="F31" s="29"/>
      <c r="G31" s="29"/>
      <c r="H31" s="30"/>
    </row>
    <row r="32" spans="2:8" ht="13.5" thickBot="1">
      <c r="B32" s="3"/>
      <c r="C32" s="24" t="s">
        <v>13</v>
      </c>
      <c r="D32" s="78">
        <f>E32*E8</f>
        <v>185871</v>
      </c>
      <c r="E32" s="79">
        <f>SUM(E22,E25,E30)</f>
        <v>43947.36842105263</v>
      </c>
      <c r="F32" s="83">
        <f>D32*0.24</f>
        <v>44609.04</v>
      </c>
      <c r="G32" s="32">
        <f>D32*1.24</f>
        <v>230480.04</v>
      </c>
      <c r="H32" s="33">
        <f>E32*1.24</f>
        <v>54494.73684210527</v>
      </c>
    </row>
    <row r="33" spans="2:5" ht="12.75">
      <c r="B33" s="9"/>
      <c r="C33" s="87"/>
      <c r="D33" s="34"/>
      <c r="E33" s="34"/>
    </row>
    <row r="34" spans="2:5" ht="12.75">
      <c r="B34" s="9"/>
      <c r="C34" s="87"/>
      <c r="D34" s="34"/>
      <c r="E34" s="34"/>
    </row>
    <row r="35" spans="2:5" ht="12.75">
      <c r="B35" s="9"/>
      <c r="C35" s="86"/>
      <c r="D35" s="34"/>
      <c r="E35" s="34"/>
    </row>
    <row r="36" spans="2:5" ht="12.75">
      <c r="B36" s="9"/>
      <c r="C36" s="87"/>
      <c r="D36" s="34"/>
      <c r="E36" s="34"/>
    </row>
    <row r="37" spans="2:5" ht="12.75">
      <c r="B37" s="9"/>
      <c r="C37" s="87"/>
      <c r="D37" s="34"/>
      <c r="E37" s="34"/>
    </row>
    <row r="38" spans="2:5" ht="12.75">
      <c r="B38" s="9"/>
      <c r="C38" s="87"/>
      <c r="D38" s="34"/>
      <c r="E38" s="34"/>
    </row>
  </sheetData>
  <sheetProtection/>
  <mergeCells count="4">
    <mergeCell ref="C9:C11"/>
    <mergeCell ref="D9:E9"/>
    <mergeCell ref="G9:H9"/>
    <mergeCell ref="H10:H11"/>
  </mergeCells>
  <printOptions/>
  <pageMargins left="0.5118110236220472" right="0.5118110236220472" top="0.3937007874015748" bottom="0.5905511811023623" header="0" footer="0"/>
  <pageSetup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40"/>
  <sheetViews>
    <sheetView view="pageBreakPreview" zoomScaleSheetLayoutView="100" zoomScalePageLayoutView="0" workbookViewId="0" topLeftCell="A1">
      <selection activeCell="D16" sqref="D16"/>
    </sheetView>
  </sheetViews>
  <sheetFormatPr defaultColWidth="9.140625" defaultRowHeight="12.75"/>
  <cols>
    <col min="2" max="2" width="5.421875" style="0" customWidth="1"/>
    <col min="3" max="3" width="54.00390625" style="0" customWidth="1"/>
    <col min="4" max="4" width="9.28125" style="10" bestFit="1" customWidth="1"/>
    <col min="5" max="5" width="9.140625" style="10" customWidth="1"/>
    <col min="6" max="6" width="8.8515625" style="0" customWidth="1"/>
    <col min="7" max="7" width="10.7109375" style="0" customWidth="1"/>
    <col min="8" max="8" width="11.00390625" style="0" customWidth="1"/>
  </cols>
  <sheetData>
    <row r="2" ht="12.75">
      <c r="B2" t="s">
        <v>14</v>
      </c>
    </row>
    <row r="3" ht="12.75">
      <c r="B3" s="6" t="s">
        <v>34</v>
      </c>
    </row>
    <row r="5" ht="12.75">
      <c r="B5" t="s">
        <v>169</v>
      </c>
    </row>
    <row r="8" spans="4:6" ht="13.5" thickBot="1">
      <c r="D8" s="15" t="s">
        <v>15</v>
      </c>
      <c r="E8" s="18">
        <f>'deviz general'!E9</f>
        <v>4.2294</v>
      </c>
      <c r="F8" s="17"/>
    </row>
    <row r="9" spans="2:8" ht="12.75" customHeight="1">
      <c r="B9" s="63" t="s">
        <v>38</v>
      </c>
      <c r="C9" s="259" t="s">
        <v>39</v>
      </c>
      <c r="D9" s="254" t="s">
        <v>93</v>
      </c>
      <c r="E9" s="258"/>
      <c r="F9" s="60" t="s">
        <v>94</v>
      </c>
      <c r="G9" s="254" t="s">
        <v>95</v>
      </c>
      <c r="H9" s="255"/>
    </row>
    <row r="10" spans="2:8" ht="12.75">
      <c r="B10" s="19" t="s">
        <v>40</v>
      </c>
      <c r="C10" s="260"/>
      <c r="D10" s="64"/>
      <c r="E10" s="25"/>
      <c r="F10" s="61"/>
      <c r="G10" s="62"/>
      <c r="H10" s="256" t="s">
        <v>0</v>
      </c>
    </row>
    <row r="11" spans="2:8" ht="13.5" thickBot="1">
      <c r="B11" s="20"/>
      <c r="C11" s="261"/>
      <c r="D11" s="70" t="s">
        <v>31</v>
      </c>
      <c r="E11" s="70" t="s">
        <v>0</v>
      </c>
      <c r="F11" s="70" t="s">
        <v>31</v>
      </c>
      <c r="G11" s="70" t="s">
        <v>31</v>
      </c>
      <c r="H11" s="257"/>
    </row>
    <row r="12" spans="2:8" ht="13.5" thickBot="1">
      <c r="B12" s="21">
        <v>1</v>
      </c>
      <c r="C12" s="71">
        <v>2</v>
      </c>
      <c r="D12" s="68">
        <v>3</v>
      </c>
      <c r="E12" s="68">
        <v>4</v>
      </c>
      <c r="F12" s="68">
        <v>5</v>
      </c>
      <c r="G12" s="68">
        <v>6</v>
      </c>
      <c r="H12" s="69">
        <v>7</v>
      </c>
    </row>
    <row r="13" spans="2:8" ht="12.75">
      <c r="B13" s="4"/>
      <c r="C13" s="22" t="s">
        <v>4</v>
      </c>
      <c r="D13" s="29"/>
      <c r="E13" s="67"/>
      <c r="F13" s="29"/>
      <c r="G13" s="29"/>
      <c r="H13" s="30"/>
    </row>
    <row r="14" spans="2:8" ht="12.75">
      <c r="B14" s="2">
        <v>1</v>
      </c>
      <c r="C14" s="1" t="s">
        <v>5</v>
      </c>
      <c r="D14" s="27">
        <f>E14*E8</f>
        <v>0</v>
      </c>
      <c r="E14" s="65">
        <v>0</v>
      </c>
      <c r="F14" s="80">
        <f>D14*0.19</f>
        <v>0</v>
      </c>
      <c r="G14" s="27">
        <f>D14*1.19</f>
        <v>0</v>
      </c>
      <c r="H14" s="28">
        <f>E14*1.19</f>
        <v>0</v>
      </c>
    </row>
    <row r="15" spans="2:8" ht="12.75">
      <c r="B15" s="2">
        <v>2</v>
      </c>
      <c r="C15" s="1" t="s">
        <v>112</v>
      </c>
      <c r="D15" s="8">
        <v>116325</v>
      </c>
      <c r="E15" s="65">
        <f>D15/E8</f>
        <v>27503.90126259044</v>
      </c>
      <c r="F15" s="80">
        <f>D15*0.24</f>
        <v>27918</v>
      </c>
      <c r="G15" s="27">
        <f>D15*1.24</f>
        <v>144243</v>
      </c>
      <c r="H15" s="28">
        <f>E15*1.24</f>
        <v>34104.83756561214</v>
      </c>
    </row>
    <row r="16" spans="2:8" ht="12.75">
      <c r="B16" s="2">
        <v>3</v>
      </c>
      <c r="C16" s="1" t="s">
        <v>6</v>
      </c>
      <c r="D16" s="27">
        <v>0</v>
      </c>
      <c r="E16" s="65">
        <f>D16/E8</f>
        <v>0</v>
      </c>
      <c r="F16" s="80">
        <f aca="true" t="shared" si="0" ref="F16:F21">D16*0.19</f>
        <v>0</v>
      </c>
      <c r="G16" s="27">
        <f aca="true" t="shared" si="1" ref="G16:H21">D16*1.19</f>
        <v>0</v>
      </c>
      <c r="H16" s="28">
        <f t="shared" si="1"/>
        <v>0</v>
      </c>
    </row>
    <row r="17" spans="2:8" ht="12.75">
      <c r="B17" s="2">
        <v>4</v>
      </c>
      <c r="C17" s="1" t="s">
        <v>1</v>
      </c>
      <c r="D17" s="27">
        <v>0</v>
      </c>
      <c r="E17" s="65">
        <f>D17/E8</f>
        <v>0</v>
      </c>
      <c r="F17" s="80">
        <f t="shared" si="0"/>
        <v>0</v>
      </c>
      <c r="G17" s="27">
        <f t="shared" si="1"/>
        <v>0</v>
      </c>
      <c r="H17" s="28">
        <f t="shared" si="1"/>
        <v>0</v>
      </c>
    </row>
    <row r="18" spans="2:8" ht="12.75">
      <c r="B18" s="2">
        <v>5</v>
      </c>
      <c r="C18" s="1" t="s">
        <v>2</v>
      </c>
      <c r="D18" s="27">
        <v>0</v>
      </c>
      <c r="E18" s="65">
        <f>D18/E8</f>
        <v>0</v>
      </c>
      <c r="F18" s="80">
        <f t="shared" si="0"/>
        <v>0</v>
      </c>
      <c r="G18" s="27">
        <f t="shared" si="1"/>
        <v>0</v>
      </c>
      <c r="H18" s="28">
        <f t="shared" si="1"/>
        <v>0</v>
      </c>
    </row>
    <row r="19" spans="2:8" ht="12.75">
      <c r="B19" s="2">
        <v>6</v>
      </c>
      <c r="C19" s="1" t="s">
        <v>107</v>
      </c>
      <c r="D19" s="27">
        <v>0</v>
      </c>
      <c r="E19" s="65">
        <f>D19/E8</f>
        <v>0</v>
      </c>
      <c r="F19" s="80">
        <f t="shared" si="0"/>
        <v>0</v>
      </c>
      <c r="G19" s="27">
        <f t="shared" si="1"/>
        <v>0</v>
      </c>
      <c r="H19" s="28">
        <f t="shared" si="1"/>
        <v>0</v>
      </c>
    </row>
    <row r="20" spans="2:8" ht="12.75">
      <c r="B20" s="2">
        <v>7</v>
      </c>
      <c r="C20" s="1" t="s">
        <v>108</v>
      </c>
      <c r="D20" s="27">
        <v>0</v>
      </c>
      <c r="E20" s="65">
        <f>D20/E8</f>
        <v>0</v>
      </c>
      <c r="F20" s="80">
        <f t="shared" si="0"/>
        <v>0</v>
      </c>
      <c r="G20" s="27">
        <f t="shared" si="1"/>
        <v>0</v>
      </c>
      <c r="H20" s="28">
        <f t="shared" si="1"/>
        <v>0</v>
      </c>
    </row>
    <row r="21" spans="2:8" ht="12.75">
      <c r="B21" s="2">
        <v>8</v>
      </c>
      <c r="C21" s="1" t="s">
        <v>7</v>
      </c>
      <c r="D21" s="27">
        <v>0</v>
      </c>
      <c r="E21" s="65">
        <f>D21/E8</f>
        <v>0</v>
      </c>
      <c r="F21" s="80">
        <f t="shared" si="0"/>
        <v>0</v>
      </c>
      <c r="G21" s="27">
        <f t="shared" si="1"/>
        <v>0</v>
      </c>
      <c r="H21" s="28">
        <f t="shared" si="1"/>
        <v>0</v>
      </c>
    </row>
    <row r="22" spans="2:8" ht="13.5" thickBot="1">
      <c r="B22" s="2"/>
      <c r="C22" s="23" t="s">
        <v>109</v>
      </c>
      <c r="D22" s="31">
        <f>E22*E8</f>
        <v>116325</v>
      </c>
      <c r="E22" s="66">
        <f>SUM(E14:E21)</f>
        <v>27503.90126259044</v>
      </c>
      <c r="F22" s="80">
        <f>D22*0.24</f>
        <v>27918</v>
      </c>
      <c r="G22" s="27">
        <f>D22*1.24</f>
        <v>144243</v>
      </c>
      <c r="H22" s="28">
        <f>E22*1.24</f>
        <v>34104.83756561214</v>
      </c>
    </row>
    <row r="23" spans="2:8" ht="12.75">
      <c r="B23" s="4"/>
      <c r="C23" s="22" t="s">
        <v>8</v>
      </c>
      <c r="D23" s="29"/>
      <c r="E23" s="67"/>
      <c r="F23" s="29"/>
      <c r="G23" s="29"/>
      <c r="H23" s="30"/>
    </row>
    <row r="24" spans="2:8" ht="12.75">
      <c r="B24" s="2"/>
      <c r="C24" s="1" t="s">
        <v>9</v>
      </c>
      <c r="D24" s="8">
        <f>E24*E19</f>
        <v>0</v>
      </c>
      <c r="E24" s="65">
        <v>0</v>
      </c>
      <c r="F24" s="80">
        <f>D24*0.19</f>
        <v>0</v>
      </c>
      <c r="G24" s="27">
        <f>D24*1.19</f>
        <v>0</v>
      </c>
      <c r="H24" s="28">
        <f>E24*1.19</f>
        <v>0</v>
      </c>
    </row>
    <row r="25" spans="2:8" ht="13.5" thickBot="1">
      <c r="B25" s="2"/>
      <c r="C25" s="23" t="s">
        <v>110</v>
      </c>
      <c r="D25" s="31">
        <f>D24</f>
        <v>0</v>
      </c>
      <c r="E25" s="66">
        <f>E24</f>
        <v>0</v>
      </c>
      <c r="F25" s="80">
        <f>D25*0.19</f>
        <v>0</v>
      </c>
      <c r="G25" s="27">
        <f>D25*1.19</f>
        <v>0</v>
      </c>
      <c r="H25" s="28">
        <f>E25*1.19</f>
        <v>0</v>
      </c>
    </row>
    <row r="26" spans="2:8" ht="12.75">
      <c r="B26" s="4"/>
      <c r="C26" s="22" t="s">
        <v>10</v>
      </c>
      <c r="D26" s="29"/>
      <c r="E26" s="67"/>
      <c r="F26" s="29"/>
      <c r="G26" s="29"/>
      <c r="H26" s="30"/>
    </row>
    <row r="27" spans="2:8" ht="12.75">
      <c r="B27" s="2"/>
      <c r="C27" s="1" t="s">
        <v>11</v>
      </c>
      <c r="D27" s="27">
        <f>E27*E8</f>
        <v>0</v>
      </c>
      <c r="E27" s="65">
        <v>0</v>
      </c>
      <c r="F27" s="80">
        <f>D27*0.19</f>
        <v>0</v>
      </c>
      <c r="G27" s="27">
        <f>D27*1.19</f>
        <v>0</v>
      </c>
      <c r="H27" s="28">
        <f>E27*1.19</f>
        <v>0</v>
      </c>
    </row>
    <row r="28" spans="2:8" ht="12.75">
      <c r="B28" s="2"/>
      <c r="C28" s="1" t="s">
        <v>12</v>
      </c>
      <c r="D28" s="27">
        <f>E28*E23</f>
        <v>0</v>
      </c>
      <c r="E28" s="65">
        <v>0</v>
      </c>
      <c r="F28" s="80">
        <f>D28*0.19</f>
        <v>0</v>
      </c>
      <c r="G28" s="27">
        <f aca="true" t="shared" si="2" ref="G28:H30">D28*1.19</f>
        <v>0</v>
      </c>
      <c r="H28" s="28">
        <f t="shared" si="2"/>
        <v>0</v>
      </c>
    </row>
    <row r="29" spans="2:8" ht="12.75">
      <c r="B29" s="2"/>
      <c r="C29" s="1" t="s">
        <v>3</v>
      </c>
      <c r="D29" s="27">
        <f>E29*E24</f>
        <v>0</v>
      </c>
      <c r="E29" s="65">
        <v>0</v>
      </c>
      <c r="F29" s="80">
        <f>D29*0.19</f>
        <v>0</v>
      </c>
      <c r="G29" s="27">
        <f t="shared" si="2"/>
        <v>0</v>
      </c>
      <c r="H29" s="28">
        <f t="shared" si="2"/>
        <v>0</v>
      </c>
    </row>
    <row r="30" spans="2:8" ht="13.5" thickBot="1">
      <c r="B30" s="72"/>
      <c r="C30" s="73" t="s">
        <v>111</v>
      </c>
      <c r="D30" s="74">
        <f>E30*E25</f>
        <v>0</v>
      </c>
      <c r="E30" s="75">
        <v>0</v>
      </c>
      <c r="F30" s="81">
        <f>D30*0.19</f>
        <v>0</v>
      </c>
      <c r="G30" s="74">
        <f t="shared" si="2"/>
        <v>0</v>
      </c>
      <c r="H30" s="82">
        <f t="shared" si="2"/>
        <v>0</v>
      </c>
    </row>
    <row r="31" spans="2:8" ht="12.75">
      <c r="B31" s="4"/>
      <c r="C31" s="5"/>
      <c r="D31" s="76"/>
      <c r="E31" s="77"/>
      <c r="F31" s="29"/>
      <c r="G31" s="29"/>
      <c r="H31" s="30"/>
    </row>
    <row r="32" spans="2:8" ht="13.5" thickBot="1">
      <c r="B32" s="3"/>
      <c r="C32" s="24" t="s">
        <v>13</v>
      </c>
      <c r="D32" s="78">
        <f>E32*E8</f>
        <v>116325</v>
      </c>
      <c r="E32" s="79">
        <f>SUM(E22,E25,E30)</f>
        <v>27503.90126259044</v>
      </c>
      <c r="F32" s="83">
        <f>D32*0.24</f>
        <v>27918</v>
      </c>
      <c r="G32" s="32">
        <f>D32*1.24</f>
        <v>144243</v>
      </c>
      <c r="H32" s="33">
        <f>E32*1.24</f>
        <v>34104.83756561214</v>
      </c>
    </row>
    <row r="33" spans="2:6" ht="12.75">
      <c r="B33" s="9"/>
      <c r="C33" s="88"/>
      <c r="D33" s="34"/>
      <c r="E33" s="34"/>
      <c r="F33" s="12"/>
    </row>
    <row r="34" spans="2:6" ht="12.75">
      <c r="B34" s="9"/>
      <c r="C34" s="88"/>
      <c r="D34" s="34"/>
      <c r="E34" s="34"/>
      <c r="F34" s="12"/>
    </row>
    <row r="35" spans="2:6" ht="12.75">
      <c r="B35" s="9"/>
      <c r="C35" s="88"/>
      <c r="D35" s="89"/>
      <c r="E35" s="89"/>
      <c r="F35" s="12"/>
    </row>
    <row r="36" spans="2:5" ht="12.75">
      <c r="B36" s="9"/>
      <c r="C36" s="85"/>
      <c r="D36" s="8"/>
      <c r="E36" s="8"/>
    </row>
    <row r="37" spans="2:5" ht="12.75">
      <c r="B37" s="9"/>
      <c r="C37" s="88"/>
      <c r="D37" s="8"/>
      <c r="E37" s="8"/>
    </row>
    <row r="38" spans="2:5" ht="12.75">
      <c r="B38" s="9"/>
      <c r="C38" s="88"/>
      <c r="D38" s="8"/>
      <c r="E38" s="8"/>
    </row>
    <row r="39" spans="2:5" ht="12.75">
      <c r="B39" s="9"/>
      <c r="C39" s="88"/>
      <c r="D39" s="8"/>
      <c r="E39" s="8"/>
    </row>
    <row r="40" spans="2:5" ht="12.75">
      <c r="B40" s="9"/>
      <c r="C40" s="9"/>
      <c r="D40" s="11"/>
      <c r="E40" s="11"/>
    </row>
  </sheetData>
  <sheetProtection/>
  <mergeCells count="4">
    <mergeCell ref="C9:C11"/>
    <mergeCell ref="D9:E9"/>
    <mergeCell ref="G9:H9"/>
    <mergeCell ref="H10:H11"/>
  </mergeCells>
  <printOptions/>
  <pageMargins left="0.5118110236220472" right="0.5118110236220472" top="0.5905511811023623" bottom="0.5905511811023623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9"/>
  <sheetViews>
    <sheetView view="pageBreakPreview" zoomScaleSheetLayoutView="100" zoomScalePageLayoutView="0" workbookViewId="0" topLeftCell="A1">
      <selection activeCell="D16" sqref="D16"/>
    </sheetView>
  </sheetViews>
  <sheetFormatPr defaultColWidth="9.140625" defaultRowHeight="12.75"/>
  <cols>
    <col min="2" max="2" width="5.421875" style="0" customWidth="1"/>
    <col min="3" max="3" width="54.00390625" style="0" customWidth="1"/>
    <col min="4" max="4" width="9.28125" style="7" bestFit="1" customWidth="1"/>
    <col min="5" max="5" width="9.8515625" style="0" customWidth="1"/>
  </cols>
  <sheetData>
    <row r="2" spans="2:5" ht="12.75">
      <c r="B2" s="12" t="s">
        <v>14</v>
      </c>
      <c r="C2" s="12"/>
      <c r="D2" s="13"/>
      <c r="E2" s="12"/>
    </row>
    <row r="3" spans="2:5" ht="12.75">
      <c r="B3" s="14" t="s">
        <v>35</v>
      </c>
      <c r="C3" s="12"/>
      <c r="D3" s="13"/>
      <c r="E3" s="12"/>
    </row>
    <row r="4" spans="4:5" ht="12.75">
      <c r="D4" s="13"/>
      <c r="E4" s="12"/>
    </row>
    <row r="5" spans="2:5" ht="12.75">
      <c r="B5" t="s">
        <v>169</v>
      </c>
      <c r="D5" s="13"/>
      <c r="E5" s="12"/>
    </row>
    <row r="6" spans="2:5" ht="12.75">
      <c r="B6" s="12"/>
      <c r="C6" s="12"/>
      <c r="D6" s="13"/>
      <c r="E6" s="12"/>
    </row>
    <row r="7" spans="2:5" ht="12.75">
      <c r="B7" s="12"/>
      <c r="C7" s="12"/>
      <c r="D7" s="34"/>
      <c r="E7" s="50"/>
    </row>
    <row r="8" spans="4:6" ht="13.5" thickBot="1">
      <c r="D8" s="15" t="s">
        <v>15</v>
      </c>
      <c r="E8" s="18">
        <f>'deviz general'!E9</f>
        <v>4.2294</v>
      </c>
      <c r="F8" s="17"/>
    </row>
    <row r="9" spans="2:8" ht="12.75">
      <c r="B9" s="63" t="s">
        <v>38</v>
      </c>
      <c r="C9" s="259" t="s">
        <v>39</v>
      </c>
      <c r="D9" s="254" t="s">
        <v>93</v>
      </c>
      <c r="E9" s="258"/>
      <c r="F9" s="60" t="s">
        <v>94</v>
      </c>
      <c r="G9" s="254" t="s">
        <v>95</v>
      </c>
      <c r="H9" s="255"/>
    </row>
    <row r="10" spans="2:8" ht="12.75">
      <c r="B10" s="19" t="s">
        <v>40</v>
      </c>
      <c r="C10" s="260"/>
      <c r="D10" s="64"/>
      <c r="E10" s="25"/>
      <c r="F10" s="61"/>
      <c r="G10" s="62"/>
      <c r="H10" s="256" t="s">
        <v>0</v>
      </c>
    </row>
    <row r="11" spans="2:8" ht="13.5" thickBot="1">
      <c r="B11" s="20"/>
      <c r="C11" s="261"/>
      <c r="D11" s="70" t="s">
        <v>31</v>
      </c>
      <c r="E11" s="70" t="s">
        <v>0</v>
      </c>
      <c r="F11" s="70" t="s">
        <v>31</v>
      </c>
      <c r="G11" s="70" t="s">
        <v>31</v>
      </c>
      <c r="H11" s="257"/>
    </row>
    <row r="12" spans="2:8" ht="13.5" thickBot="1">
      <c r="B12" s="21">
        <v>1</v>
      </c>
      <c r="C12" s="71">
        <v>2</v>
      </c>
      <c r="D12" s="68">
        <v>3</v>
      </c>
      <c r="E12" s="68">
        <v>4</v>
      </c>
      <c r="F12" s="68">
        <v>5</v>
      </c>
      <c r="G12" s="68">
        <v>6</v>
      </c>
      <c r="H12" s="69">
        <v>7</v>
      </c>
    </row>
    <row r="13" spans="2:8" ht="12.75">
      <c r="B13" s="4"/>
      <c r="C13" s="22" t="s">
        <v>4</v>
      </c>
      <c r="D13" s="29"/>
      <c r="E13" s="67"/>
      <c r="F13" s="29"/>
      <c r="G13" s="29"/>
      <c r="H13" s="30"/>
    </row>
    <row r="14" spans="2:8" ht="12.75">
      <c r="B14" s="2">
        <v>1</v>
      </c>
      <c r="C14" s="1" t="s">
        <v>5</v>
      </c>
      <c r="D14" s="27">
        <f>E14*E8</f>
        <v>0</v>
      </c>
      <c r="E14" s="65">
        <v>0</v>
      </c>
      <c r="F14" s="80">
        <f>D14*0.19</f>
        <v>0</v>
      </c>
      <c r="G14" s="27">
        <f>D14*1.19</f>
        <v>0</v>
      </c>
      <c r="H14" s="28">
        <f>E14*1.19</f>
        <v>0</v>
      </c>
    </row>
    <row r="15" spans="2:8" ht="12.75">
      <c r="B15" s="2">
        <v>2</v>
      </c>
      <c r="C15" s="1" t="s">
        <v>112</v>
      </c>
      <c r="D15" s="8">
        <v>313345</v>
      </c>
      <c r="E15" s="65">
        <f>D15/E8</f>
        <v>74087.34099399442</v>
      </c>
      <c r="F15" s="80">
        <f>D15*0.24</f>
        <v>75202.8</v>
      </c>
      <c r="G15" s="27">
        <f>D15*1.24</f>
        <v>388547.8</v>
      </c>
      <c r="H15" s="28">
        <f>E15*1.24</f>
        <v>91868.30283255309</v>
      </c>
    </row>
    <row r="16" spans="2:8" ht="12.75">
      <c r="B16" s="2">
        <v>3</v>
      </c>
      <c r="C16" s="1" t="s">
        <v>6</v>
      </c>
      <c r="D16" s="27">
        <v>0</v>
      </c>
      <c r="E16" s="65">
        <f>D16/E8</f>
        <v>0</v>
      </c>
      <c r="F16" s="80">
        <f aca="true" t="shared" si="0" ref="F16:F21">D16*0.19</f>
        <v>0</v>
      </c>
      <c r="G16" s="27">
        <f aca="true" t="shared" si="1" ref="G16:H21">D16*1.19</f>
        <v>0</v>
      </c>
      <c r="H16" s="28">
        <f t="shared" si="1"/>
        <v>0</v>
      </c>
    </row>
    <row r="17" spans="2:8" ht="12.75">
      <c r="B17" s="2">
        <v>4</v>
      </c>
      <c r="C17" s="1" t="s">
        <v>1</v>
      </c>
      <c r="D17" s="27">
        <v>0</v>
      </c>
      <c r="E17" s="65">
        <f>D17/E8</f>
        <v>0</v>
      </c>
      <c r="F17" s="80">
        <f t="shared" si="0"/>
        <v>0</v>
      </c>
      <c r="G17" s="27">
        <f t="shared" si="1"/>
        <v>0</v>
      </c>
      <c r="H17" s="28">
        <f t="shared" si="1"/>
        <v>0</v>
      </c>
    </row>
    <row r="18" spans="2:8" ht="12.75">
      <c r="B18" s="2">
        <v>5</v>
      </c>
      <c r="C18" s="1" t="s">
        <v>2</v>
      </c>
      <c r="D18" s="27">
        <v>0</v>
      </c>
      <c r="E18" s="65">
        <f>D18/E8</f>
        <v>0</v>
      </c>
      <c r="F18" s="80">
        <f t="shared" si="0"/>
        <v>0</v>
      </c>
      <c r="G18" s="27">
        <f t="shared" si="1"/>
        <v>0</v>
      </c>
      <c r="H18" s="28">
        <f t="shared" si="1"/>
        <v>0</v>
      </c>
    </row>
    <row r="19" spans="2:8" ht="12.75">
      <c r="B19" s="2">
        <v>6</v>
      </c>
      <c r="C19" s="1" t="s">
        <v>107</v>
      </c>
      <c r="D19" s="27">
        <v>0</v>
      </c>
      <c r="E19" s="65">
        <f>D19/E8</f>
        <v>0</v>
      </c>
      <c r="F19" s="80">
        <f t="shared" si="0"/>
        <v>0</v>
      </c>
      <c r="G19" s="27">
        <f t="shared" si="1"/>
        <v>0</v>
      </c>
      <c r="H19" s="28">
        <f t="shared" si="1"/>
        <v>0</v>
      </c>
    </row>
    <row r="20" spans="2:8" ht="12.75">
      <c r="B20" s="2">
        <v>7</v>
      </c>
      <c r="C20" s="1" t="s">
        <v>108</v>
      </c>
      <c r="D20" s="27">
        <v>0</v>
      </c>
      <c r="E20" s="65">
        <f>D20/E8</f>
        <v>0</v>
      </c>
      <c r="F20" s="80">
        <f t="shared" si="0"/>
        <v>0</v>
      </c>
      <c r="G20" s="27">
        <f t="shared" si="1"/>
        <v>0</v>
      </c>
      <c r="H20" s="28">
        <f t="shared" si="1"/>
        <v>0</v>
      </c>
    </row>
    <row r="21" spans="2:8" ht="12.75">
      <c r="B21" s="2">
        <v>8</v>
      </c>
      <c r="C21" s="1" t="s">
        <v>7</v>
      </c>
      <c r="D21" s="27">
        <v>0</v>
      </c>
      <c r="E21" s="65">
        <f>D21/E8</f>
        <v>0</v>
      </c>
      <c r="F21" s="80">
        <f t="shared" si="0"/>
        <v>0</v>
      </c>
      <c r="G21" s="27">
        <f t="shared" si="1"/>
        <v>0</v>
      </c>
      <c r="H21" s="28">
        <f t="shared" si="1"/>
        <v>0</v>
      </c>
    </row>
    <row r="22" spans="2:8" ht="13.5" thickBot="1">
      <c r="B22" s="2"/>
      <c r="C22" s="23" t="s">
        <v>109</v>
      </c>
      <c r="D22" s="31">
        <f>E22*E8</f>
        <v>313345</v>
      </c>
      <c r="E22" s="66">
        <f>SUM(E14:E21)</f>
        <v>74087.34099399442</v>
      </c>
      <c r="F22" s="80">
        <f>D22*0.24</f>
        <v>75202.8</v>
      </c>
      <c r="G22" s="27">
        <f>D22*1.24</f>
        <v>388547.8</v>
      </c>
      <c r="H22" s="28">
        <f>E22*1.24</f>
        <v>91868.30283255309</v>
      </c>
    </row>
    <row r="23" spans="2:8" ht="12.75">
      <c r="B23" s="4"/>
      <c r="C23" s="22" t="s">
        <v>8</v>
      </c>
      <c r="D23" s="29"/>
      <c r="E23" s="67"/>
      <c r="F23" s="29"/>
      <c r="G23" s="29"/>
      <c r="H23" s="30"/>
    </row>
    <row r="24" spans="2:8" ht="12.75">
      <c r="B24" s="2"/>
      <c r="C24" s="1" t="s">
        <v>9</v>
      </c>
      <c r="D24" s="8">
        <f>E24*E19</f>
        <v>0</v>
      </c>
      <c r="E24" s="65">
        <v>0</v>
      </c>
      <c r="F24" s="80">
        <f>D24*0.19</f>
        <v>0</v>
      </c>
      <c r="G24" s="27">
        <f>D24*1.19</f>
        <v>0</v>
      </c>
      <c r="H24" s="28">
        <f>E24*1.19</f>
        <v>0</v>
      </c>
    </row>
    <row r="25" spans="2:8" ht="13.5" thickBot="1">
      <c r="B25" s="2"/>
      <c r="C25" s="23" t="s">
        <v>110</v>
      </c>
      <c r="D25" s="31">
        <f>D24</f>
        <v>0</v>
      </c>
      <c r="E25" s="66">
        <f>E24</f>
        <v>0</v>
      </c>
      <c r="F25" s="80">
        <f>D25*0.19</f>
        <v>0</v>
      </c>
      <c r="G25" s="27">
        <f>D25*1.19</f>
        <v>0</v>
      </c>
      <c r="H25" s="28">
        <f>E25*1.19</f>
        <v>0</v>
      </c>
    </row>
    <row r="26" spans="2:8" ht="12.75">
      <c r="B26" s="4"/>
      <c r="C26" s="22" t="s">
        <v>10</v>
      </c>
      <c r="D26" s="29"/>
      <c r="E26" s="67"/>
      <c r="F26" s="29"/>
      <c r="G26" s="29"/>
      <c r="H26" s="30"/>
    </row>
    <row r="27" spans="2:8" ht="12.75">
      <c r="B27" s="2"/>
      <c r="C27" s="1" t="s">
        <v>11</v>
      </c>
      <c r="D27" s="27">
        <f>E27*E8</f>
        <v>0</v>
      </c>
      <c r="E27" s="65">
        <v>0</v>
      </c>
      <c r="F27" s="80">
        <f>D27*0.19</f>
        <v>0</v>
      </c>
      <c r="G27" s="27">
        <f>D27*1.19</f>
        <v>0</v>
      </c>
      <c r="H27" s="28">
        <f>E27*1.19</f>
        <v>0</v>
      </c>
    </row>
    <row r="28" spans="2:8" ht="12.75">
      <c r="B28" s="2"/>
      <c r="C28" s="1" t="s">
        <v>12</v>
      </c>
      <c r="D28" s="27">
        <f>E28*E23</f>
        <v>0</v>
      </c>
      <c r="E28" s="65">
        <v>0</v>
      </c>
      <c r="F28" s="80">
        <f>D28*0.19</f>
        <v>0</v>
      </c>
      <c r="G28" s="27">
        <f aca="true" t="shared" si="2" ref="G28:H30">D28*1.19</f>
        <v>0</v>
      </c>
      <c r="H28" s="28">
        <f t="shared" si="2"/>
        <v>0</v>
      </c>
    </row>
    <row r="29" spans="2:8" ht="12.75">
      <c r="B29" s="2"/>
      <c r="C29" s="1" t="s">
        <v>3</v>
      </c>
      <c r="D29" s="27">
        <f>E29*E24</f>
        <v>0</v>
      </c>
      <c r="E29" s="65">
        <v>0</v>
      </c>
      <c r="F29" s="80">
        <f>D29*0.19</f>
        <v>0</v>
      </c>
      <c r="G29" s="27">
        <f t="shared" si="2"/>
        <v>0</v>
      </c>
      <c r="H29" s="28">
        <f t="shared" si="2"/>
        <v>0</v>
      </c>
    </row>
    <row r="30" spans="2:8" ht="13.5" thickBot="1">
      <c r="B30" s="72"/>
      <c r="C30" s="73" t="s">
        <v>111</v>
      </c>
      <c r="D30" s="74">
        <f>E30*E25</f>
        <v>0</v>
      </c>
      <c r="E30" s="75">
        <v>0</v>
      </c>
      <c r="F30" s="81">
        <f>D30*0.19</f>
        <v>0</v>
      </c>
      <c r="G30" s="74">
        <f t="shared" si="2"/>
        <v>0</v>
      </c>
      <c r="H30" s="82">
        <f t="shared" si="2"/>
        <v>0</v>
      </c>
    </row>
    <row r="31" spans="2:8" ht="12.75">
      <c r="B31" s="4"/>
      <c r="C31" s="5"/>
      <c r="D31" s="76"/>
      <c r="E31" s="77"/>
      <c r="F31" s="29"/>
      <c r="G31" s="29"/>
      <c r="H31" s="30"/>
    </row>
    <row r="32" spans="2:8" ht="13.5" thickBot="1">
      <c r="B32" s="3"/>
      <c r="C32" s="24" t="s">
        <v>13</v>
      </c>
      <c r="D32" s="78">
        <f>E32*E8</f>
        <v>313345</v>
      </c>
      <c r="E32" s="79">
        <f>SUM(E22,E25,E30)</f>
        <v>74087.34099399442</v>
      </c>
      <c r="F32" s="83">
        <f>D32*0.24</f>
        <v>75202.8</v>
      </c>
      <c r="G32" s="32">
        <f>D32*1.24</f>
        <v>388547.8</v>
      </c>
      <c r="H32" s="33">
        <f>E32*1.24</f>
        <v>91868.30283255309</v>
      </c>
    </row>
    <row r="33" spans="2:5" ht="12.75">
      <c r="B33" s="50"/>
      <c r="C33" s="87"/>
      <c r="D33" s="34"/>
      <c r="E33" s="34"/>
    </row>
    <row r="34" spans="2:5" ht="12.75">
      <c r="B34" s="50"/>
      <c r="C34" s="87"/>
      <c r="D34" s="89"/>
      <c r="E34" s="89"/>
    </row>
    <row r="35" spans="2:5" ht="12.75">
      <c r="B35" s="50"/>
      <c r="C35" s="86"/>
      <c r="D35" s="34"/>
      <c r="E35" s="34"/>
    </row>
    <row r="36" spans="2:5" ht="12.75">
      <c r="B36" s="50"/>
      <c r="C36" s="87"/>
      <c r="D36" s="34"/>
      <c r="E36" s="34"/>
    </row>
    <row r="37" spans="2:5" ht="12.75">
      <c r="B37" s="50"/>
      <c r="C37" s="87"/>
      <c r="D37" s="34"/>
      <c r="E37" s="34"/>
    </row>
    <row r="38" spans="2:5" ht="12.75">
      <c r="B38" s="50"/>
      <c r="C38" s="87"/>
      <c r="D38" s="34"/>
      <c r="E38" s="34"/>
    </row>
    <row r="39" spans="2:5" ht="12.75">
      <c r="B39" s="12"/>
      <c r="C39" s="12"/>
      <c r="D39" s="13"/>
      <c r="E39" s="12"/>
    </row>
  </sheetData>
  <sheetProtection/>
  <mergeCells count="4">
    <mergeCell ref="C9:C11"/>
    <mergeCell ref="D9:E9"/>
    <mergeCell ref="G9:H9"/>
    <mergeCell ref="H10:H11"/>
  </mergeCells>
  <printOptions/>
  <pageMargins left="0.5118110236220472" right="0.5118110236220472" top="0.5905511811023623" bottom="0.5905511811023623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38"/>
  <sheetViews>
    <sheetView view="pageBreakPreview" zoomScaleSheetLayoutView="100" zoomScalePageLayoutView="0" workbookViewId="0" topLeftCell="A1">
      <selection activeCell="D18" sqref="D18"/>
    </sheetView>
  </sheetViews>
  <sheetFormatPr defaultColWidth="9.140625" defaultRowHeight="12.75"/>
  <cols>
    <col min="2" max="2" width="5.421875" style="0" customWidth="1"/>
    <col min="3" max="3" width="54.00390625" style="0" customWidth="1"/>
    <col min="4" max="4" width="9.28125" style="10" bestFit="1" customWidth="1"/>
    <col min="5" max="5" width="9.28125" style="10" customWidth="1"/>
    <col min="18" max="18" width="18.8515625" style="0" customWidth="1"/>
  </cols>
  <sheetData>
    <row r="2" ht="12.75">
      <c r="B2" t="s">
        <v>14</v>
      </c>
    </row>
    <row r="3" ht="12.75">
      <c r="B3" s="6" t="s">
        <v>36</v>
      </c>
    </row>
    <row r="5" ht="12.75">
      <c r="B5" t="s">
        <v>169</v>
      </c>
    </row>
    <row r="8" spans="4:6" ht="13.5" thickBot="1">
      <c r="D8" s="15" t="s">
        <v>15</v>
      </c>
      <c r="E8" s="18">
        <f>'deviz general'!E9</f>
        <v>4.2294</v>
      </c>
      <c r="F8" s="17"/>
    </row>
    <row r="9" spans="2:8" ht="12.75" customHeight="1">
      <c r="B9" s="63" t="s">
        <v>38</v>
      </c>
      <c r="C9" s="259" t="s">
        <v>39</v>
      </c>
      <c r="D9" s="254" t="s">
        <v>93</v>
      </c>
      <c r="E9" s="258"/>
      <c r="F9" s="60" t="s">
        <v>94</v>
      </c>
      <c r="G9" s="254" t="s">
        <v>95</v>
      </c>
      <c r="H9" s="255"/>
    </row>
    <row r="10" spans="2:8" ht="12.75">
      <c r="B10" s="19" t="s">
        <v>40</v>
      </c>
      <c r="C10" s="260"/>
      <c r="D10" s="64"/>
      <c r="E10" s="25"/>
      <c r="F10" s="61"/>
      <c r="G10" s="62"/>
      <c r="H10" s="256" t="s">
        <v>0</v>
      </c>
    </row>
    <row r="11" spans="2:8" ht="13.5" thickBot="1">
      <c r="B11" s="20"/>
      <c r="C11" s="261"/>
      <c r="D11" s="70" t="s">
        <v>31</v>
      </c>
      <c r="E11" s="70" t="s">
        <v>0</v>
      </c>
      <c r="F11" s="70" t="s">
        <v>31</v>
      </c>
      <c r="G11" s="70" t="s">
        <v>31</v>
      </c>
      <c r="H11" s="257"/>
    </row>
    <row r="12" spans="2:8" ht="13.5" thickBot="1">
      <c r="B12" s="21">
        <v>1</v>
      </c>
      <c r="C12" s="71">
        <v>2</v>
      </c>
      <c r="D12" s="68">
        <v>3</v>
      </c>
      <c r="E12" s="68">
        <v>4</v>
      </c>
      <c r="F12" s="68">
        <v>5</v>
      </c>
      <c r="G12" s="68">
        <v>6</v>
      </c>
      <c r="H12" s="69">
        <v>7</v>
      </c>
    </row>
    <row r="13" spans="2:18" ht="15.75">
      <c r="B13" s="4"/>
      <c r="C13" s="22" t="s">
        <v>4</v>
      </c>
      <c r="D13" s="29"/>
      <c r="E13" s="67"/>
      <c r="F13" s="29"/>
      <c r="G13" s="29"/>
      <c r="H13" s="30"/>
      <c r="L13" s="94" t="s">
        <v>131</v>
      </c>
      <c r="R13" s="94" t="s">
        <v>132</v>
      </c>
    </row>
    <row r="14" spans="2:18" ht="15.75">
      <c r="B14" s="2">
        <v>1</v>
      </c>
      <c r="C14" s="1" t="s">
        <v>5</v>
      </c>
      <c r="D14" s="27">
        <f>E14*E8</f>
        <v>0</v>
      </c>
      <c r="E14" s="65">
        <v>0</v>
      </c>
      <c r="F14" s="80">
        <f>D14*0.19</f>
        <v>0</v>
      </c>
      <c r="G14" s="27">
        <f>D14*1.19</f>
        <v>0</v>
      </c>
      <c r="H14" s="28">
        <f>E14*1.19</f>
        <v>0</v>
      </c>
      <c r="L14" s="94" t="s">
        <v>133</v>
      </c>
      <c r="R14" s="94" t="s">
        <v>134</v>
      </c>
    </row>
    <row r="15" spans="2:18" ht="15.75">
      <c r="B15" s="2">
        <v>2</v>
      </c>
      <c r="C15" s="1" t="s">
        <v>112</v>
      </c>
      <c r="D15" s="8">
        <f>E15*E8</f>
        <v>0</v>
      </c>
      <c r="E15" s="65">
        <v>0</v>
      </c>
      <c r="F15" s="80">
        <f>D15*0.19</f>
        <v>0</v>
      </c>
      <c r="G15" s="27">
        <f>D15*1.19</f>
        <v>0</v>
      </c>
      <c r="H15" s="28">
        <f>E15*1.19</f>
        <v>0</v>
      </c>
      <c r="L15" s="94" t="s">
        <v>135</v>
      </c>
      <c r="R15" s="94" t="s">
        <v>136</v>
      </c>
    </row>
    <row r="16" spans="2:18" ht="15.75">
      <c r="B16" s="2">
        <v>3</v>
      </c>
      <c r="C16" s="1" t="s">
        <v>6</v>
      </c>
      <c r="D16" s="27">
        <v>0</v>
      </c>
      <c r="E16" s="65">
        <f>D16/E8</f>
        <v>0</v>
      </c>
      <c r="F16" s="80">
        <f aca="true" t="shared" si="0" ref="F16:F21">D16*0.19</f>
        <v>0</v>
      </c>
      <c r="G16" s="27">
        <f aca="true" t="shared" si="1" ref="G16:H21">D16*1.19</f>
        <v>0</v>
      </c>
      <c r="H16" s="28">
        <f t="shared" si="1"/>
        <v>0</v>
      </c>
      <c r="L16" s="94" t="s">
        <v>137</v>
      </c>
      <c r="R16" s="94" t="s">
        <v>138</v>
      </c>
    </row>
    <row r="17" spans="2:18" ht="15.75">
      <c r="B17" s="2">
        <v>4</v>
      </c>
      <c r="C17" s="1" t="s">
        <v>1</v>
      </c>
      <c r="D17" s="27">
        <v>458943</v>
      </c>
      <c r="E17" s="65">
        <f>D17/E8</f>
        <v>108512.5549723365</v>
      </c>
      <c r="F17" s="80">
        <f>D17*0.24</f>
        <v>110146.31999999999</v>
      </c>
      <c r="G17" s="27">
        <f>D17*1.24</f>
        <v>569089.32</v>
      </c>
      <c r="H17" s="28">
        <f>E17*1.24</f>
        <v>134555.56816569724</v>
      </c>
      <c r="L17" s="94" t="s">
        <v>139</v>
      </c>
      <c r="R17" s="94" t="s">
        <v>140</v>
      </c>
    </row>
    <row r="18" spans="2:18" ht="15.75">
      <c r="B18" s="2">
        <v>5</v>
      </c>
      <c r="C18" s="1" t="s">
        <v>2</v>
      </c>
      <c r="D18" s="27">
        <v>0</v>
      </c>
      <c r="E18" s="65">
        <f>D18/E8</f>
        <v>0</v>
      </c>
      <c r="F18" s="80">
        <f t="shared" si="0"/>
        <v>0</v>
      </c>
      <c r="G18" s="27">
        <f t="shared" si="1"/>
        <v>0</v>
      </c>
      <c r="H18" s="28">
        <f t="shared" si="1"/>
        <v>0</v>
      </c>
      <c r="L18" s="94" t="s">
        <v>141</v>
      </c>
      <c r="R18" s="94" t="s">
        <v>142</v>
      </c>
    </row>
    <row r="19" spans="2:12" ht="15.75">
      <c r="B19" s="2">
        <v>6</v>
      </c>
      <c r="C19" s="1" t="s">
        <v>107</v>
      </c>
      <c r="D19" s="27">
        <v>0</v>
      </c>
      <c r="E19" s="65">
        <f>D19/E8</f>
        <v>0</v>
      </c>
      <c r="F19" s="80">
        <f t="shared" si="0"/>
        <v>0</v>
      </c>
      <c r="G19" s="27">
        <f t="shared" si="1"/>
        <v>0</v>
      </c>
      <c r="H19" s="28">
        <f t="shared" si="1"/>
        <v>0</v>
      </c>
      <c r="L19" s="94"/>
    </row>
    <row r="20" spans="2:18" ht="15.75">
      <c r="B20" s="2">
        <v>7</v>
      </c>
      <c r="C20" s="1" t="s">
        <v>108</v>
      </c>
      <c r="D20" s="27">
        <v>0</v>
      </c>
      <c r="E20" s="65">
        <f>D20/E8</f>
        <v>0</v>
      </c>
      <c r="F20" s="80">
        <f t="shared" si="0"/>
        <v>0</v>
      </c>
      <c r="G20" s="27">
        <f t="shared" si="1"/>
        <v>0</v>
      </c>
      <c r="H20" s="28">
        <f t="shared" si="1"/>
        <v>0</v>
      </c>
      <c r="L20" s="94" t="s">
        <v>143</v>
      </c>
      <c r="R20" s="94" t="s">
        <v>144</v>
      </c>
    </row>
    <row r="21" spans="2:8" ht="12.75">
      <c r="B21" s="2">
        <v>8</v>
      </c>
      <c r="C21" s="1" t="s">
        <v>7</v>
      </c>
      <c r="D21" s="27">
        <v>0</v>
      </c>
      <c r="E21" s="65">
        <f>D21/E8</f>
        <v>0</v>
      </c>
      <c r="F21" s="80">
        <f t="shared" si="0"/>
        <v>0</v>
      </c>
      <c r="G21" s="27">
        <f t="shared" si="1"/>
        <v>0</v>
      </c>
      <c r="H21" s="28">
        <f t="shared" si="1"/>
        <v>0</v>
      </c>
    </row>
    <row r="22" spans="2:8" ht="13.5" thickBot="1">
      <c r="B22" s="2"/>
      <c r="C22" s="23" t="s">
        <v>109</v>
      </c>
      <c r="D22" s="31">
        <f>E22*E8</f>
        <v>458943</v>
      </c>
      <c r="E22" s="66">
        <f>SUM(E14:E21)</f>
        <v>108512.5549723365</v>
      </c>
      <c r="F22" s="80">
        <f>D22*0.24</f>
        <v>110146.31999999999</v>
      </c>
      <c r="G22" s="27">
        <f>D22*1.24</f>
        <v>569089.32</v>
      </c>
      <c r="H22" s="28">
        <f>E22*1.24</f>
        <v>134555.56816569724</v>
      </c>
    </row>
    <row r="23" spans="2:8" ht="12.75">
      <c r="B23" s="4"/>
      <c r="C23" s="22" t="s">
        <v>8</v>
      </c>
      <c r="D23" s="29"/>
      <c r="E23" s="67"/>
      <c r="F23" s="29"/>
      <c r="G23" s="29"/>
      <c r="H23" s="30"/>
    </row>
    <row r="24" spans="2:8" ht="12.75">
      <c r="B24" s="2"/>
      <c r="C24" s="1" t="s">
        <v>9</v>
      </c>
      <c r="D24" s="8">
        <f>E24*E19</f>
        <v>0</v>
      </c>
      <c r="E24" s="65">
        <v>0</v>
      </c>
      <c r="F24" s="80">
        <f>D24*0.19</f>
        <v>0</v>
      </c>
      <c r="G24" s="27">
        <f>D24*1.19</f>
        <v>0</v>
      </c>
      <c r="H24" s="28">
        <f>E24*1.19</f>
        <v>0</v>
      </c>
    </row>
    <row r="25" spans="2:8" ht="13.5" thickBot="1">
      <c r="B25" s="2"/>
      <c r="C25" s="23" t="s">
        <v>110</v>
      </c>
      <c r="D25" s="31">
        <f>D24</f>
        <v>0</v>
      </c>
      <c r="E25" s="66">
        <f>E24</f>
        <v>0</v>
      </c>
      <c r="F25" s="80">
        <f>D25*0.19</f>
        <v>0</v>
      </c>
      <c r="G25" s="27">
        <f>D25*1.19</f>
        <v>0</v>
      </c>
      <c r="H25" s="28">
        <f>E25*1.19</f>
        <v>0</v>
      </c>
    </row>
    <row r="26" spans="2:8" ht="12.75">
      <c r="B26" s="4"/>
      <c r="C26" s="22" t="s">
        <v>10</v>
      </c>
      <c r="D26" s="29"/>
      <c r="E26" s="67"/>
      <c r="F26" s="29"/>
      <c r="G26" s="29"/>
      <c r="H26" s="30"/>
    </row>
    <row r="27" spans="2:8" ht="12.75">
      <c r="B27" s="2"/>
      <c r="C27" s="1" t="s">
        <v>11</v>
      </c>
      <c r="D27" s="27">
        <v>185141</v>
      </c>
      <c r="E27" s="65">
        <f>D27/E8</f>
        <v>43774.76710644536</v>
      </c>
      <c r="F27" s="80">
        <f>D27*0.24</f>
        <v>44433.84</v>
      </c>
      <c r="G27" s="27">
        <f>D27*1.24</f>
        <v>229574.84</v>
      </c>
      <c r="H27" s="28">
        <f>E27*1.24</f>
        <v>54280.711211992246</v>
      </c>
    </row>
    <row r="28" spans="2:8" ht="12.75">
      <c r="B28" s="2"/>
      <c r="C28" s="1" t="s">
        <v>12</v>
      </c>
      <c r="D28" s="27">
        <f>E28*E23</f>
        <v>0</v>
      </c>
      <c r="E28" s="65">
        <v>0</v>
      </c>
      <c r="F28" s="80">
        <f>D28*0.19</f>
        <v>0</v>
      </c>
      <c r="G28" s="27">
        <f>D28*1.19</f>
        <v>0</v>
      </c>
      <c r="H28" s="28">
        <f>E28*1.19</f>
        <v>0</v>
      </c>
    </row>
    <row r="29" spans="2:8" ht="12.75">
      <c r="B29" s="2"/>
      <c r="C29" s="1" t="s">
        <v>3</v>
      </c>
      <c r="D29" s="27">
        <f>E29*E24</f>
        <v>0</v>
      </c>
      <c r="E29" s="65">
        <v>0</v>
      </c>
      <c r="F29" s="80">
        <f>D29*0.19</f>
        <v>0</v>
      </c>
      <c r="G29" s="27">
        <f>D29*1.19</f>
        <v>0</v>
      </c>
      <c r="H29" s="28">
        <f>E29*1.19</f>
        <v>0</v>
      </c>
    </row>
    <row r="30" spans="2:8" ht="13.5" thickBot="1">
      <c r="B30" s="72"/>
      <c r="C30" s="73" t="s">
        <v>111</v>
      </c>
      <c r="D30" s="74">
        <f>SUM(D27:D29)</f>
        <v>185141</v>
      </c>
      <c r="E30" s="75">
        <f>SUM(E27:E29)</f>
        <v>43774.76710644536</v>
      </c>
      <c r="F30" s="81">
        <f>D30*0.24</f>
        <v>44433.84</v>
      </c>
      <c r="G30" s="74">
        <f>D30*1.24</f>
        <v>229574.84</v>
      </c>
      <c r="H30" s="82">
        <f>E30*1.24</f>
        <v>54280.711211992246</v>
      </c>
    </row>
    <row r="31" spans="2:8" ht="12.75">
      <c r="B31" s="4"/>
      <c r="C31" s="5"/>
      <c r="D31" s="76"/>
      <c r="E31" s="77"/>
      <c r="F31" s="29"/>
      <c r="G31" s="29"/>
      <c r="H31" s="30"/>
    </row>
    <row r="32" spans="2:8" ht="13.5" thickBot="1">
      <c r="B32" s="3"/>
      <c r="C32" s="24" t="s">
        <v>13</v>
      </c>
      <c r="D32" s="78">
        <f>E32*E8</f>
        <v>644083.9999999999</v>
      </c>
      <c r="E32" s="79">
        <f>SUM(E22,E25,E30)</f>
        <v>152287.32207878184</v>
      </c>
      <c r="F32" s="83">
        <f>D32*0.24</f>
        <v>154580.15999999997</v>
      </c>
      <c r="G32" s="32">
        <f>D32*1.24</f>
        <v>798664.1599999998</v>
      </c>
      <c r="H32" s="33">
        <f>E32*1.24</f>
        <v>188836.2793776895</v>
      </c>
    </row>
    <row r="33" spans="2:8" ht="12.75">
      <c r="B33" s="9"/>
      <c r="C33" s="88"/>
      <c r="D33" s="8"/>
      <c r="E33" s="8"/>
      <c r="F33" s="9"/>
      <c r="G33" s="9"/>
      <c r="H33" s="9"/>
    </row>
    <row r="34" spans="2:8" ht="12.75">
      <c r="B34" s="9"/>
      <c r="C34" s="88"/>
      <c r="D34" s="8"/>
      <c r="E34" s="8"/>
      <c r="F34" s="9"/>
      <c r="G34" s="9"/>
      <c r="H34" s="9"/>
    </row>
    <row r="35" spans="2:8" ht="12.75">
      <c r="B35" s="9"/>
      <c r="C35" s="85"/>
      <c r="D35" s="8"/>
      <c r="E35" s="8"/>
      <c r="F35" s="9"/>
      <c r="G35" s="9"/>
      <c r="H35" s="9"/>
    </row>
    <row r="36" spans="2:8" ht="12.75">
      <c r="B36" s="9"/>
      <c r="C36" s="88"/>
      <c r="D36" s="8"/>
      <c r="E36" s="8"/>
      <c r="F36" s="9"/>
      <c r="G36" s="9"/>
      <c r="H36" s="9"/>
    </row>
    <row r="37" spans="2:8" ht="12.75">
      <c r="B37" s="9"/>
      <c r="C37" s="88"/>
      <c r="D37" s="8"/>
      <c r="E37" s="8"/>
      <c r="F37" s="9"/>
      <c r="G37" s="9"/>
      <c r="H37" s="9"/>
    </row>
    <row r="38" spans="2:8" ht="12.75">
      <c r="B38" s="9"/>
      <c r="C38" s="88"/>
      <c r="D38" s="8"/>
      <c r="E38" s="8"/>
      <c r="F38" s="9"/>
      <c r="G38" s="9"/>
      <c r="H38" s="9"/>
    </row>
  </sheetData>
  <sheetProtection/>
  <mergeCells count="4">
    <mergeCell ref="C9:C11"/>
    <mergeCell ref="D9:E9"/>
    <mergeCell ref="G9:H9"/>
    <mergeCell ref="H10:H11"/>
  </mergeCells>
  <printOptions/>
  <pageMargins left="0.5118110236220472" right="0.5118110236220472" top="0.5905511811023623" bottom="0.984251968503937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39"/>
  <sheetViews>
    <sheetView view="pageBreakPreview" zoomScaleSheetLayoutView="100" zoomScalePageLayoutView="0" workbookViewId="0" topLeftCell="A1">
      <selection activeCell="C42" sqref="C42"/>
    </sheetView>
  </sheetViews>
  <sheetFormatPr defaultColWidth="9.140625" defaultRowHeight="12.75"/>
  <cols>
    <col min="2" max="2" width="5.421875" style="0" customWidth="1"/>
    <col min="3" max="3" width="54.00390625" style="0" customWidth="1"/>
    <col min="4" max="4" width="9.28125" style="10" bestFit="1" customWidth="1"/>
    <col min="5" max="5" width="8.7109375" style="10" customWidth="1"/>
  </cols>
  <sheetData>
    <row r="2" ht="12.75">
      <c r="B2" t="s">
        <v>14</v>
      </c>
    </row>
    <row r="3" ht="12.75">
      <c r="B3" s="6" t="s">
        <v>37</v>
      </c>
    </row>
    <row r="5" ht="12.75">
      <c r="B5" t="s">
        <v>169</v>
      </c>
    </row>
    <row r="8" spans="4:6" ht="13.5" thickBot="1">
      <c r="D8" s="15" t="s">
        <v>15</v>
      </c>
      <c r="E8" s="18">
        <f>'deviz general'!E9</f>
        <v>4.2294</v>
      </c>
      <c r="F8" s="17"/>
    </row>
    <row r="9" spans="2:8" ht="12.75" customHeight="1">
      <c r="B9" s="63" t="s">
        <v>38</v>
      </c>
      <c r="C9" s="259" t="s">
        <v>39</v>
      </c>
      <c r="D9" s="254" t="s">
        <v>93</v>
      </c>
      <c r="E9" s="258"/>
      <c r="F9" s="60" t="s">
        <v>94</v>
      </c>
      <c r="G9" s="254" t="s">
        <v>95</v>
      </c>
      <c r="H9" s="255"/>
    </row>
    <row r="10" spans="2:8" ht="12.75">
      <c r="B10" s="19" t="s">
        <v>40</v>
      </c>
      <c r="C10" s="260"/>
      <c r="D10" s="64"/>
      <c r="E10" s="25"/>
      <c r="F10" s="61"/>
      <c r="G10" s="62"/>
      <c r="H10" s="256" t="s">
        <v>0</v>
      </c>
    </row>
    <row r="11" spans="2:8" ht="13.5" thickBot="1">
      <c r="B11" s="20"/>
      <c r="C11" s="261"/>
      <c r="D11" s="70" t="s">
        <v>31</v>
      </c>
      <c r="E11" s="70" t="s">
        <v>0</v>
      </c>
      <c r="F11" s="70" t="s">
        <v>31</v>
      </c>
      <c r="G11" s="70" t="s">
        <v>31</v>
      </c>
      <c r="H11" s="257"/>
    </row>
    <row r="12" spans="2:8" ht="13.5" thickBot="1">
      <c r="B12" s="21">
        <v>1</v>
      </c>
      <c r="C12" s="71">
        <v>2</v>
      </c>
      <c r="D12" s="68">
        <v>3</v>
      </c>
      <c r="E12" s="68">
        <v>4</v>
      </c>
      <c r="F12" s="68">
        <v>5</v>
      </c>
      <c r="G12" s="68">
        <v>6</v>
      </c>
      <c r="H12" s="69">
        <v>7</v>
      </c>
    </row>
    <row r="13" spans="2:8" ht="18.75" customHeight="1">
      <c r="B13" s="4"/>
      <c r="C13" s="22" t="s">
        <v>4</v>
      </c>
      <c r="D13" s="29"/>
      <c r="E13" s="67"/>
      <c r="F13" s="29"/>
      <c r="G13" s="29"/>
      <c r="H13" s="30"/>
    </row>
    <row r="14" spans="2:14" ht="12.75">
      <c r="B14" s="2">
        <v>1</v>
      </c>
      <c r="C14" s="1" t="s">
        <v>5</v>
      </c>
      <c r="D14" s="27">
        <f>E14*E8</f>
        <v>0</v>
      </c>
      <c r="E14" s="65">
        <v>0</v>
      </c>
      <c r="F14" s="80">
        <f>D14*0.19</f>
        <v>0</v>
      </c>
      <c r="G14" s="27">
        <f>D14*1.19</f>
        <v>0</v>
      </c>
      <c r="H14" s="28">
        <f>E14*1.19</f>
        <v>0</v>
      </c>
      <c r="L14" t="s">
        <v>129</v>
      </c>
      <c r="M14" t="s">
        <v>128</v>
      </c>
      <c r="N14" t="s">
        <v>130</v>
      </c>
    </row>
    <row r="15" spans="2:14" ht="12.75">
      <c r="B15" s="2">
        <v>2</v>
      </c>
      <c r="C15" s="1" t="s">
        <v>112</v>
      </c>
      <c r="D15" s="8">
        <v>139900</v>
      </c>
      <c r="E15" s="65">
        <f>D15/E8</f>
        <v>33077.97796377737</v>
      </c>
      <c r="F15" s="80">
        <f>D15*0.24</f>
        <v>33576</v>
      </c>
      <c r="G15" s="27">
        <f>D15*1.24</f>
        <v>173476</v>
      </c>
      <c r="H15" s="28">
        <f>E15*1.24</f>
        <v>41016.692675083934</v>
      </c>
      <c r="K15" t="s">
        <v>125</v>
      </c>
      <c r="L15">
        <v>200</v>
      </c>
      <c r="M15">
        <v>13</v>
      </c>
      <c r="N15">
        <f>M15*L15</f>
        <v>2600</v>
      </c>
    </row>
    <row r="16" spans="2:14" ht="12.75">
      <c r="B16" s="2">
        <v>3</v>
      </c>
      <c r="C16" s="1" t="s">
        <v>6</v>
      </c>
      <c r="D16" s="27">
        <v>0</v>
      </c>
      <c r="E16" s="65">
        <f>D16/E8</f>
        <v>0</v>
      </c>
      <c r="F16" s="80">
        <f aca="true" t="shared" si="0" ref="F16:F21">D16*0.19</f>
        <v>0</v>
      </c>
      <c r="G16" s="27">
        <f aca="true" t="shared" si="1" ref="G16:H21">D16*1.19</f>
        <v>0</v>
      </c>
      <c r="H16" s="28">
        <f t="shared" si="1"/>
        <v>0</v>
      </c>
      <c r="K16" t="s">
        <v>126</v>
      </c>
      <c r="L16">
        <v>1</v>
      </c>
      <c r="M16">
        <v>30</v>
      </c>
      <c r="N16">
        <f>M16*L16</f>
        <v>30</v>
      </c>
    </row>
    <row r="17" spans="2:14" ht="12.75">
      <c r="B17" s="2">
        <v>4</v>
      </c>
      <c r="C17" s="1" t="s">
        <v>1</v>
      </c>
      <c r="D17" s="27">
        <v>0</v>
      </c>
      <c r="E17" s="65">
        <f>D17/E8</f>
        <v>0</v>
      </c>
      <c r="F17" s="80">
        <f t="shared" si="0"/>
        <v>0</v>
      </c>
      <c r="G17" s="27">
        <f t="shared" si="1"/>
        <v>0</v>
      </c>
      <c r="H17" s="28">
        <f t="shared" si="1"/>
        <v>0</v>
      </c>
      <c r="K17" t="s">
        <v>127</v>
      </c>
      <c r="L17">
        <v>1</v>
      </c>
      <c r="M17">
        <v>170</v>
      </c>
      <c r="N17">
        <f>M17*L17</f>
        <v>170</v>
      </c>
    </row>
    <row r="18" spans="2:14" ht="12.75">
      <c r="B18" s="2">
        <v>5</v>
      </c>
      <c r="C18" s="1" t="s">
        <v>2</v>
      </c>
      <c r="D18" s="27">
        <v>0</v>
      </c>
      <c r="E18" s="65">
        <f>D18/E8</f>
        <v>0</v>
      </c>
      <c r="F18" s="80">
        <f t="shared" si="0"/>
        <v>0</v>
      </c>
      <c r="G18" s="27">
        <f t="shared" si="1"/>
        <v>0</v>
      </c>
      <c r="H18" s="28">
        <f t="shared" si="1"/>
        <v>0</v>
      </c>
      <c r="N18" s="93">
        <f>SUM(N15:N17)</f>
        <v>2800</v>
      </c>
    </row>
    <row r="19" spans="2:8" ht="12.75">
      <c r="B19" s="2">
        <v>6</v>
      </c>
      <c r="C19" s="1" t="s">
        <v>107</v>
      </c>
      <c r="D19" s="27">
        <v>0</v>
      </c>
      <c r="E19" s="65">
        <f>D19/E8</f>
        <v>0</v>
      </c>
      <c r="F19" s="80">
        <f t="shared" si="0"/>
        <v>0</v>
      </c>
      <c r="G19" s="27">
        <f t="shared" si="1"/>
        <v>0</v>
      </c>
      <c r="H19" s="28">
        <f t="shared" si="1"/>
        <v>0</v>
      </c>
    </row>
    <row r="20" spans="2:8" ht="12.75">
      <c r="B20" s="2">
        <v>7</v>
      </c>
      <c r="C20" s="1" t="s">
        <v>108</v>
      </c>
      <c r="D20" s="27">
        <v>0</v>
      </c>
      <c r="E20" s="65">
        <f>D20/E8</f>
        <v>0</v>
      </c>
      <c r="F20" s="80">
        <f t="shared" si="0"/>
        <v>0</v>
      </c>
      <c r="G20" s="27">
        <f t="shared" si="1"/>
        <v>0</v>
      </c>
      <c r="H20" s="28">
        <f t="shared" si="1"/>
        <v>0</v>
      </c>
    </row>
    <row r="21" spans="2:8" ht="12.75">
      <c r="B21" s="2">
        <v>8</v>
      </c>
      <c r="C21" s="1" t="s">
        <v>7</v>
      </c>
      <c r="D21" s="27">
        <v>0</v>
      </c>
      <c r="E21" s="65">
        <f>D21/E8</f>
        <v>0</v>
      </c>
      <c r="F21" s="80">
        <f t="shared" si="0"/>
        <v>0</v>
      </c>
      <c r="G21" s="27">
        <f t="shared" si="1"/>
        <v>0</v>
      </c>
      <c r="H21" s="28">
        <f t="shared" si="1"/>
        <v>0</v>
      </c>
    </row>
    <row r="22" spans="2:8" ht="13.5" thickBot="1">
      <c r="B22" s="2"/>
      <c r="C22" s="23" t="s">
        <v>109</v>
      </c>
      <c r="D22" s="31">
        <f>E22*E8</f>
        <v>139900</v>
      </c>
      <c r="E22" s="66">
        <f>SUM(E14:E21)</f>
        <v>33077.97796377737</v>
      </c>
      <c r="F22" s="80">
        <f>D22*0.24</f>
        <v>33576</v>
      </c>
      <c r="G22" s="27">
        <f>D22*1.24</f>
        <v>173476</v>
      </c>
      <c r="H22" s="28">
        <f>E22*1.24</f>
        <v>41016.692675083934</v>
      </c>
    </row>
    <row r="23" spans="2:8" ht="12.75">
      <c r="B23" s="4"/>
      <c r="C23" s="22" t="s">
        <v>8</v>
      </c>
      <c r="D23" s="29"/>
      <c r="E23" s="67"/>
      <c r="F23" s="29"/>
      <c r="G23" s="29"/>
      <c r="H23" s="30"/>
    </row>
    <row r="24" spans="2:8" ht="12.75">
      <c r="B24" s="2"/>
      <c r="C24" s="1" t="s">
        <v>9</v>
      </c>
      <c r="D24" s="8">
        <f>E24*E19</f>
        <v>0</v>
      </c>
      <c r="E24" s="65">
        <v>0</v>
      </c>
      <c r="F24" s="80">
        <f>D24*0.19</f>
        <v>0</v>
      </c>
      <c r="G24" s="27">
        <f>D24*1.19</f>
        <v>0</v>
      </c>
      <c r="H24" s="28">
        <f>E24*1.19</f>
        <v>0</v>
      </c>
    </row>
    <row r="25" spans="2:8" ht="13.5" thickBot="1">
      <c r="B25" s="2"/>
      <c r="C25" s="23" t="s">
        <v>110</v>
      </c>
      <c r="D25" s="31">
        <f>D24</f>
        <v>0</v>
      </c>
      <c r="E25" s="66">
        <f>E24</f>
        <v>0</v>
      </c>
      <c r="F25" s="80">
        <f>D25*0.19</f>
        <v>0</v>
      </c>
      <c r="G25" s="27">
        <f>D25*1.19</f>
        <v>0</v>
      </c>
      <c r="H25" s="28">
        <f>E25*1.19</f>
        <v>0</v>
      </c>
    </row>
    <row r="26" spans="2:8" ht="12.75">
      <c r="B26" s="4"/>
      <c r="C26" s="22" t="s">
        <v>10</v>
      </c>
      <c r="D26" s="29"/>
      <c r="E26" s="67"/>
      <c r="F26" s="29"/>
      <c r="G26" s="29"/>
      <c r="H26" s="30"/>
    </row>
    <row r="27" spans="2:8" ht="12.75">
      <c r="B27" s="2"/>
      <c r="C27" s="1" t="s">
        <v>11</v>
      </c>
      <c r="D27" s="27">
        <f>E27*E8</f>
        <v>0</v>
      </c>
      <c r="E27" s="65">
        <v>0</v>
      </c>
      <c r="F27" s="80">
        <f>D27*0.19</f>
        <v>0</v>
      </c>
      <c r="G27" s="27">
        <f>D27*1.19</f>
        <v>0</v>
      </c>
      <c r="H27" s="28">
        <f>E27*1.19</f>
        <v>0</v>
      </c>
    </row>
    <row r="28" spans="2:8" ht="12.75">
      <c r="B28" s="2"/>
      <c r="C28" s="1" t="s">
        <v>12</v>
      </c>
      <c r="D28" s="27">
        <f>E28*E23</f>
        <v>0</v>
      </c>
      <c r="E28" s="65">
        <v>0</v>
      </c>
      <c r="F28" s="80">
        <f>D28*0.19</f>
        <v>0</v>
      </c>
      <c r="G28" s="27">
        <f aca="true" t="shared" si="2" ref="G28:H30">D28*1.19</f>
        <v>0</v>
      </c>
      <c r="H28" s="28">
        <f t="shared" si="2"/>
        <v>0</v>
      </c>
    </row>
    <row r="29" spans="2:8" ht="12.75">
      <c r="B29" s="2"/>
      <c r="C29" s="1" t="s">
        <v>3</v>
      </c>
      <c r="D29" s="27">
        <f>E29*E24</f>
        <v>0</v>
      </c>
      <c r="E29" s="65">
        <v>0</v>
      </c>
      <c r="F29" s="80">
        <f>D29*0.19</f>
        <v>0</v>
      </c>
      <c r="G29" s="27">
        <f t="shared" si="2"/>
        <v>0</v>
      </c>
      <c r="H29" s="28">
        <f t="shared" si="2"/>
        <v>0</v>
      </c>
    </row>
    <row r="30" spans="2:8" ht="13.5" thickBot="1">
      <c r="B30" s="72"/>
      <c r="C30" s="73" t="s">
        <v>111</v>
      </c>
      <c r="D30" s="74">
        <f>E30*E25</f>
        <v>0</v>
      </c>
      <c r="E30" s="75">
        <v>0</v>
      </c>
      <c r="F30" s="81">
        <f>D30*0.19</f>
        <v>0</v>
      </c>
      <c r="G30" s="74">
        <f t="shared" si="2"/>
        <v>0</v>
      </c>
      <c r="H30" s="82">
        <f t="shared" si="2"/>
        <v>0</v>
      </c>
    </row>
    <row r="31" spans="2:8" ht="12.75">
      <c r="B31" s="4"/>
      <c r="C31" s="5"/>
      <c r="D31" s="76"/>
      <c r="E31" s="77"/>
      <c r="F31" s="29"/>
      <c r="G31" s="29"/>
      <c r="H31" s="30"/>
    </row>
    <row r="32" spans="2:8" ht="13.5" thickBot="1">
      <c r="B32" s="3"/>
      <c r="C32" s="24" t="s">
        <v>13</v>
      </c>
      <c r="D32" s="78">
        <f>E32*E8</f>
        <v>139900</v>
      </c>
      <c r="E32" s="79">
        <f>SUM(E22,E25,E30)</f>
        <v>33077.97796377737</v>
      </c>
      <c r="F32" s="83">
        <f>D32*0.24</f>
        <v>33576</v>
      </c>
      <c r="G32" s="32">
        <f>D32*1.24</f>
        <v>173476</v>
      </c>
      <c r="H32" s="33">
        <f>E32*1.24</f>
        <v>41016.692675083934</v>
      </c>
    </row>
    <row r="33" spans="2:6" ht="12.75">
      <c r="B33" s="9"/>
      <c r="C33" s="87"/>
      <c r="D33" s="34"/>
      <c r="E33" s="34"/>
      <c r="F33" s="9"/>
    </row>
    <row r="34" spans="2:6" ht="12.75">
      <c r="B34" s="9"/>
      <c r="C34" s="87"/>
      <c r="D34" s="34"/>
      <c r="E34" s="34"/>
      <c r="F34" s="9"/>
    </row>
    <row r="35" spans="2:6" ht="12.75">
      <c r="B35" s="9"/>
      <c r="C35" s="87"/>
      <c r="D35" s="34"/>
      <c r="E35" s="34"/>
      <c r="F35" s="9"/>
    </row>
    <row r="36" spans="2:6" ht="12.75">
      <c r="B36" s="9"/>
      <c r="C36" s="86"/>
      <c r="D36" s="34"/>
      <c r="E36" s="34"/>
      <c r="F36" s="9"/>
    </row>
    <row r="37" spans="2:6" ht="12.75">
      <c r="B37" s="9"/>
      <c r="C37" s="87"/>
      <c r="D37" s="34"/>
      <c r="E37" s="34"/>
      <c r="F37" s="9"/>
    </row>
    <row r="38" spans="2:6" ht="12.75">
      <c r="B38" s="9"/>
      <c r="C38" s="87"/>
      <c r="D38" s="34"/>
      <c r="E38" s="34"/>
      <c r="F38" s="9"/>
    </row>
    <row r="39" spans="2:6" ht="12.75">
      <c r="B39" s="9"/>
      <c r="C39" s="87"/>
      <c r="D39" s="34"/>
      <c r="E39" s="34"/>
      <c r="F39" s="9"/>
    </row>
  </sheetData>
  <sheetProtection/>
  <mergeCells count="4">
    <mergeCell ref="C9:C11"/>
    <mergeCell ref="D9:E9"/>
    <mergeCell ref="G9:H9"/>
    <mergeCell ref="H10:H11"/>
  </mergeCells>
  <printOptions/>
  <pageMargins left="0.5118110236220472" right="0.5118110236220472" top="0.5905511811023623" bottom="0.5905511811023623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63"/>
  <sheetViews>
    <sheetView tabSelected="1" view="pageBreakPreview" zoomScaleSheetLayoutView="100" zoomScalePageLayoutView="0" workbookViewId="0" topLeftCell="B1">
      <selection activeCell="K50" sqref="K50"/>
    </sheetView>
  </sheetViews>
  <sheetFormatPr defaultColWidth="9.140625" defaultRowHeight="12.75"/>
  <cols>
    <col min="2" max="2" width="3.28125" style="0" customWidth="1"/>
    <col min="3" max="3" width="55.140625" style="0" customWidth="1"/>
    <col min="4" max="4" width="12.7109375" style="0" bestFit="1" customWidth="1"/>
    <col min="5" max="6" width="11.7109375" style="0" bestFit="1" customWidth="1"/>
    <col min="7" max="8" width="12.7109375" style="0" bestFit="1" customWidth="1"/>
    <col min="11" max="11" width="27.7109375" style="0" bestFit="1" customWidth="1"/>
    <col min="18" max="18" width="13.57421875" style="0" customWidth="1"/>
    <col min="19" max="19" width="11.7109375" style="0" bestFit="1" customWidth="1"/>
  </cols>
  <sheetData>
    <row r="2" spans="1:5" ht="12.75">
      <c r="A2" s="9"/>
      <c r="B2" t="s">
        <v>14</v>
      </c>
      <c r="D2" s="10"/>
      <c r="E2" s="10"/>
    </row>
    <row r="3" spans="1:5" ht="12.75">
      <c r="A3" s="90"/>
      <c r="B3" s="6" t="s">
        <v>170</v>
      </c>
      <c r="D3" s="10"/>
      <c r="E3" s="10"/>
    </row>
    <row r="4" spans="1:5" ht="12.75">
      <c r="A4" s="9"/>
      <c r="D4" s="10"/>
      <c r="E4" s="10"/>
    </row>
    <row r="5" spans="1:5" ht="12.75">
      <c r="A5" s="9"/>
      <c r="B5" t="s">
        <v>169</v>
      </c>
      <c r="D5" s="10"/>
      <c r="E5" s="10"/>
    </row>
    <row r="6" spans="1:5" ht="12.75">
      <c r="A6" s="9"/>
      <c r="D6" s="10"/>
      <c r="E6" s="10"/>
    </row>
    <row r="7" spans="1:5" ht="12.75">
      <c r="A7" s="9"/>
      <c r="D7" s="10"/>
      <c r="E7" s="10"/>
    </row>
    <row r="8" spans="1:6" ht="13.5" thickBot="1">
      <c r="A8" s="9"/>
      <c r="D8" s="15" t="s">
        <v>15</v>
      </c>
      <c r="E8" s="18">
        <f>'deviz general'!E9</f>
        <v>4.2294</v>
      </c>
      <c r="F8" s="17"/>
    </row>
    <row r="9" spans="1:8" ht="12.75">
      <c r="A9" s="84"/>
      <c r="B9" s="63" t="s">
        <v>38</v>
      </c>
      <c r="C9" s="259" t="s">
        <v>39</v>
      </c>
      <c r="D9" s="254" t="s">
        <v>93</v>
      </c>
      <c r="E9" s="258"/>
      <c r="F9" s="60" t="s">
        <v>94</v>
      </c>
      <c r="G9" s="254" t="s">
        <v>95</v>
      </c>
      <c r="H9" s="255"/>
    </row>
    <row r="10" spans="1:8" ht="12.75">
      <c r="A10" s="84"/>
      <c r="B10" s="19" t="s">
        <v>40</v>
      </c>
      <c r="C10" s="260"/>
      <c r="D10" s="64"/>
      <c r="E10" s="25"/>
      <c r="F10" s="61"/>
      <c r="G10" s="62"/>
      <c r="H10" s="256" t="s">
        <v>0</v>
      </c>
    </row>
    <row r="11" spans="1:8" ht="13.5" thickBot="1">
      <c r="A11" s="9"/>
      <c r="B11" s="20"/>
      <c r="C11" s="261"/>
      <c r="D11" s="70" t="s">
        <v>31</v>
      </c>
      <c r="E11" s="70" t="s">
        <v>0</v>
      </c>
      <c r="F11" s="70" t="s">
        <v>31</v>
      </c>
      <c r="G11" s="70" t="s">
        <v>31</v>
      </c>
      <c r="H11" s="257"/>
    </row>
    <row r="12" spans="1:8" ht="13.5" thickBot="1">
      <c r="A12" s="9"/>
      <c r="B12" s="21">
        <v>1</v>
      </c>
      <c r="C12" s="71">
        <v>2</v>
      </c>
      <c r="D12" s="68">
        <v>3</v>
      </c>
      <c r="E12" s="68">
        <v>4</v>
      </c>
      <c r="F12" s="68">
        <v>5</v>
      </c>
      <c r="G12" s="68">
        <v>6</v>
      </c>
      <c r="H12" s="69">
        <v>7</v>
      </c>
    </row>
    <row r="13" spans="1:19" ht="12.75">
      <c r="A13" s="9"/>
      <c r="B13" s="4"/>
      <c r="C13" s="22" t="s">
        <v>4</v>
      </c>
      <c r="D13" s="105"/>
      <c r="E13" s="106"/>
      <c r="F13" s="105"/>
      <c r="G13" s="105"/>
      <c r="H13" s="107"/>
      <c r="S13">
        <v>1.026</v>
      </c>
    </row>
    <row r="14" spans="1:19" ht="12.75">
      <c r="A14" s="9"/>
      <c r="B14" s="2">
        <v>1</v>
      </c>
      <c r="C14" s="1" t="s">
        <v>172</v>
      </c>
      <c r="D14" s="108">
        <f>SUM(D15:D19)</f>
        <v>3573040.7800000003</v>
      </c>
      <c r="E14" s="108">
        <f>SUM(E15:E19)</f>
        <v>844810.3229772545</v>
      </c>
      <c r="F14" s="109">
        <f aca="true" t="shared" si="0" ref="F14:F36">D14*0.24</f>
        <v>857529.7872</v>
      </c>
      <c r="G14" s="108">
        <f aca="true" t="shared" si="1" ref="G14:G36">D14*1.24</f>
        <v>4430570.5672</v>
      </c>
      <c r="H14" s="110">
        <f aca="true" t="shared" si="2" ref="H14:H36">E14*1.24</f>
        <v>1047564.8004917956</v>
      </c>
      <c r="R14" s="108">
        <f>SUM(R15:R19)</f>
        <v>3482495.89</v>
      </c>
      <c r="S14" s="26">
        <f>R14*S13</f>
        <v>3573040.7831400004</v>
      </c>
    </row>
    <row r="15" spans="1:19" ht="12.75">
      <c r="A15" s="9"/>
      <c r="B15" s="2"/>
      <c r="C15" s="1" t="s">
        <v>173</v>
      </c>
      <c r="D15" s="111">
        <v>267018.9</v>
      </c>
      <c r="E15" s="112">
        <f>D15/E8</f>
        <v>63133.990636969786</v>
      </c>
      <c r="F15" s="113">
        <f t="shared" si="0"/>
        <v>64084.536</v>
      </c>
      <c r="G15" s="111">
        <f t="shared" si="1"/>
        <v>331103.43600000005</v>
      </c>
      <c r="H15" s="114">
        <f t="shared" si="2"/>
        <v>78286.14838984254</v>
      </c>
      <c r="R15" s="111">
        <v>260252.34</v>
      </c>
      <c r="S15" s="26">
        <f>R15*S13</f>
        <v>267018.90084</v>
      </c>
    </row>
    <row r="16" spans="1:19" ht="12.75">
      <c r="A16" s="9"/>
      <c r="B16" s="2"/>
      <c r="C16" s="1" t="s">
        <v>174</v>
      </c>
      <c r="D16" s="111">
        <v>199177.54</v>
      </c>
      <c r="E16" s="112">
        <f>D16/E8</f>
        <v>47093.5688277297</v>
      </c>
      <c r="F16" s="113">
        <f t="shared" si="0"/>
        <v>47802.6096</v>
      </c>
      <c r="G16" s="111">
        <f t="shared" si="1"/>
        <v>246980.1496</v>
      </c>
      <c r="H16" s="114">
        <f t="shared" si="2"/>
        <v>58396.02534638483</v>
      </c>
      <c r="R16" s="111">
        <v>194130.16</v>
      </c>
      <c r="S16" s="26">
        <f>R16*S13</f>
        <v>199177.54416000002</v>
      </c>
    </row>
    <row r="17" spans="1:19" ht="12.75">
      <c r="A17" s="9"/>
      <c r="B17" s="2"/>
      <c r="C17" s="1" t="s">
        <v>175</v>
      </c>
      <c r="D17" s="111">
        <v>971691.17</v>
      </c>
      <c r="E17" s="112">
        <f>D17/E8</f>
        <v>229746.8127866837</v>
      </c>
      <c r="F17" s="113">
        <f t="shared" si="0"/>
        <v>233205.8808</v>
      </c>
      <c r="G17" s="111">
        <f t="shared" si="1"/>
        <v>1204897.0508</v>
      </c>
      <c r="H17" s="114">
        <f t="shared" si="2"/>
        <v>284886.0478554878</v>
      </c>
      <c r="R17" s="111">
        <v>947067.42</v>
      </c>
      <c r="S17" s="26">
        <f>R17*S13</f>
        <v>971691.17292</v>
      </c>
    </row>
    <row r="18" spans="1:19" ht="12.75">
      <c r="A18" s="9"/>
      <c r="B18" s="2"/>
      <c r="C18" s="1" t="s">
        <v>192</v>
      </c>
      <c r="D18" s="111">
        <v>308795.84</v>
      </c>
      <c r="E18" s="112">
        <f>D18/E8</f>
        <v>73011.7368893933</v>
      </c>
      <c r="F18" s="113">
        <f t="shared" si="0"/>
        <v>74111.0016</v>
      </c>
      <c r="G18" s="111">
        <f t="shared" si="1"/>
        <v>382906.84160000004</v>
      </c>
      <c r="H18" s="114">
        <f t="shared" si="2"/>
        <v>90534.5537428477</v>
      </c>
      <c r="R18" s="111">
        <v>300970.6</v>
      </c>
      <c r="S18" s="26">
        <f>R18*S13</f>
        <v>308795.8356</v>
      </c>
    </row>
    <row r="19" spans="1:19" ht="12.75">
      <c r="A19" s="9"/>
      <c r="B19" s="2"/>
      <c r="C19" s="1" t="s">
        <v>176</v>
      </c>
      <c r="D19" s="111">
        <v>1826357.33</v>
      </c>
      <c r="E19" s="112">
        <f>D19/E8</f>
        <v>431824.213836478</v>
      </c>
      <c r="F19" s="113">
        <f t="shared" si="0"/>
        <v>438325.75920000003</v>
      </c>
      <c r="G19" s="111">
        <f t="shared" si="1"/>
        <v>2264683.0892000003</v>
      </c>
      <c r="H19" s="114">
        <f t="shared" si="2"/>
        <v>535462.0251572328</v>
      </c>
      <c r="R19" s="111">
        <v>1780075.37</v>
      </c>
      <c r="S19" s="26">
        <f>R19*S13</f>
        <v>1826357.3296200002</v>
      </c>
    </row>
    <row r="20" spans="1:19" ht="12.75">
      <c r="A20" s="9"/>
      <c r="B20" s="2">
        <v>2</v>
      </c>
      <c r="C20" s="1" t="s">
        <v>180</v>
      </c>
      <c r="D20" s="108">
        <f>SUM(D21:D23)</f>
        <v>1403950.82</v>
      </c>
      <c r="E20" s="108">
        <f>SUM(E21:E23)</f>
        <v>331950.352295834</v>
      </c>
      <c r="F20" s="109">
        <f t="shared" si="0"/>
        <v>336948.1968</v>
      </c>
      <c r="G20" s="108">
        <f t="shared" si="1"/>
        <v>1740899.0168</v>
      </c>
      <c r="H20" s="110">
        <f t="shared" si="2"/>
        <v>411618.43684683414</v>
      </c>
      <c r="R20" s="108">
        <f>SUM(R21:R23)</f>
        <v>1228996.9000000001</v>
      </c>
      <c r="S20" s="26">
        <f>R20*S13</f>
        <v>1260950.8194000002</v>
      </c>
    </row>
    <row r="21" spans="1:19" ht="12.75">
      <c r="A21" s="9"/>
      <c r="B21" s="2"/>
      <c r="C21" s="1" t="s">
        <v>113</v>
      </c>
      <c r="D21" s="111">
        <v>1236657.62</v>
      </c>
      <c r="E21" s="112">
        <f>D21/E8</f>
        <v>292395.52182342653</v>
      </c>
      <c r="F21" s="113">
        <f t="shared" si="0"/>
        <v>296797.8288</v>
      </c>
      <c r="G21" s="111">
        <f t="shared" si="1"/>
        <v>1533455.4488000001</v>
      </c>
      <c r="H21" s="114">
        <f t="shared" si="2"/>
        <v>362570.4470610489</v>
      </c>
      <c r="R21" s="111">
        <v>1107853.43</v>
      </c>
      <c r="S21" s="26">
        <f>R21*S13</f>
        <v>1136657.61918</v>
      </c>
    </row>
    <row r="22" spans="1:19" ht="12.75">
      <c r="A22" s="9"/>
      <c r="B22" s="2"/>
      <c r="C22" s="1" t="s">
        <v>1</v>
      </c>
      <c r="D22" s="111">
        <v>63780.54</v>
      </c>
      <c r="E22" s="112">
        <f>D22/E8</f>
        <v>15080.280890906512</v>
      </c>
      <c r="F22" s="113">
        <f t="shared" si="0"/>
        <v>15307.3296</v>
      </c>
      <c r="G22" s="111">
        <f t="shared" si="1"/>
        <v>79087.8696</v>
      </c>
      <c r="H22" s="114">
        <f t="shared" si="2"/>
        <v>18699.548304724074</v>
      </c>
      <c r="R22" s="111">
        <v>50468.36</v>
      </c>
      <c r="S22" s="26">
        <f>R22*S13</f>
        <v>51780.53736</v>
      </c>
    </row>
    <row r="23" spans="1:19" ht="12.75">
      <c r="A23" s="9"/>
      <c r="B23" s="2"/>
      <c r="C23" s="1" t="s">
        <v>177</v>
      </c>
      <c r="D23" s="111">
        <v>103512.66</v>
      </c>
      <c r="E23" s="112">
        <f>D23/E8</f>
        <v>24474.549581500924</v>
      </c>
      <c r="F23" s="113">
        <f t="shared" si="0"/>
        <v>24843.0384</v>
      </c>
      <c r="G23" s="111">
        <f t="shared" si="1"/>
        <v>128355.69840000001</v>
      </c>
      <c r="H23" s="114">
        <f t="shared" si="2"/>
        <v>30348.441481061145</v>
      </c>
      <c r="R23" s="111">
        <v>70675.11</v>
      </c>
      <c r="S23" s="26">
        <f>R23*S13</f>
        <v>72512.66286</v>
      </c>
    </row>
    <row r="24" spans="1:19" ht="12.75">
      <c r="A24" s="9"/>
      <c r="B24" s="2">
        <v>3</v>
      </c>
      <c r="C24" s="1" t="s">
        <v>178</v>
      </c>
      <c r="D24" s="108">
        <f>SUM(D25:D27)</f>
        <v>2807598.41</v>
      </c>
      <c r="E24" s="115">
        <f>SUM(E25:E27)</f>
        <v>663829.008842862</v>
      </c>
      <c r="F24" s="109">
        <f t="shared" si="0"/>
        <v>673823.6184</v>
      </c>
      <c r="G24" s="108">
        <f t="shared" si="1"/>
        <v>3481422.0284</v>
      </c>
      <c r="H24" s="110">
        <f t="shared" si="2"/>
        <v>823147.9709651489</v>
      </c>
      <c r="J24" s="92">
        <v>0.7</v>
      </c>
      <c r="R24" s="108">
        <f>SUM(R25:R27)</f>
        <v>2557114.27</v>
      </c>
      <c r="S24" s="26">
        <f>R24*S13</f>
        <v>2623599.24102</v>
      </c>
    </row>
    <row r="25" spans="1:19" ht="12.75">
      <c r="A25" s="9"/>
      <c r="B25" s="2"/>
      <c r="C25" s="1" t="s">
        <v>113</v>
      </c>
      <c r="D25" s="111">
        <v>2332820.87</v>
      </c>
      <c r="E25" s="112">
        <f>D25/E8</f>
        <v>551572.5327469618</v>
      </c>
      <c r="F25" s="113">
        <f t="shared" si="0"/>
        <v>559877.0088</v>
      </c>
      <c r="G25" s="111">
        <f t="shared" si="1"/>
        <v>2892697.8788</v>
      </c>
      <c r="H25" s="114">
        <f t="shared" si="2"/>
        <v>683949.9406062326</v>
      </c>
      <c r="J25" s="92">
        <v>0.03</v>
      </c>
      <c r="R25" s="111">
        <v>2176238.66</v>
      </c>
      <c r="S25" s="26">
        <f>R25*S13</f>
        <v>2232820.86516</v>
      </c>
    </row>
    <row r="26" spans="1:19" ht="12.75">
      <c r="A26" s="9"/>
      <c r="B26" s="2"/>
      <c r="C26" s="1" t="s">
        <v>1</v>
      </c>
      <c r="D26" s="111">
        <v>196446.54</v>
      </c>
      <c r="E26" s="112">
        <f>D26/E8</f>
        <v>46447.850758972905</v>
      </c>
      <c r="F26" s="113">
        <f t="shared" si="0"/>
        <v>47147.1696</v>
      </c>
      <c r="G26" s="111">
        <f t="shared" si="1"/>
        <v>243593.7096</v>
      </c>
      <c r="H26" s="114">
        <f t="shared" si="2"/>
        <v>57595.3349411264</v>
      </c>
      <c r="J26" s="92">
        <v>0.09</v>
      </c>
      <c r="R26" s="111">
        <v>145659.4</v>
      </c>
      <c r="S26" s="26">
        <f>R26*S13</f>
        <v>149446.54439999998</v>
      </c>
    </row>
    <row r="27" spans="1:19" ht="12.75">
      <c r="A27" s="9"/>
      <c r="B27" s="2"/>
      <c r="C27" s="1" t="s">
        <v>177</v>
      </c>
      <c r="D27" s="111">
        <v>278331</v>
      </c>
      <c r="E27" s="112">
        <f>D27/E8</f>
        <v>65808.62533692722</v>
      </c>
      <c r="F27" s="113">
        <f t="shared" si="0"/>
        <v>66799.44</v>
      </c>
      <c r="G27" s="111">
        <f t="shared" si="1"/>
        <v>345130.44</v>
      </c>
      <c r="H27" s="114">
        <f t="shared" si="2"/>
        <v>81602.69541778974</v>
      </c>
      <c r="J27" s="92">
        <v>0.04</v>
      </c>
      <c r="R27" s="111">
        <v>235216.21</v>
      </c>
      <c r="S27" s="26">
        <f>R27*S13</f>
        <v>241331.83146</v>
      </c>
    </row>
    <row r="28" spans="1:19" ht="13.5" customHeight="1">
      <c r="A28" s="9"/>
      <c r="B28" s="2">
        <v>4</v>
      </c>
      <c r="C28" s="1" t="s">
        <v>179</v>
      </c>
      <c r="D28" s="108">
        <f>SUM(D29:D31)</f>
        <v>4090060.99</v>
      </c>
      <c r="E28" s="115">
        <f>SUM(E29:E31)</f>
        <v>967054.662599896</v>
      </c>
      <c r="F28" s="109">
        <f t="shared" si="0"/>
        <v>981614.6376</v>
      </c>
      <c r="G28" s="108">
        <f t="shared" si="1"/>
        <v>5071675.6276</v>
      </c>
      <c r="H28" s="110">
        <f t="shared" si="2"/>
        <v>1199147.781623871</v>
      </c>
      <c r="J28" s="92">
        <v>0.11</v>
      </c>
      <c r="R28" s="108">
        <f>SUM(R29:R31)</f>
        <v>3736778.53</v>
      </c>
      <c r="S28" s="26">
        <f>R28*S13</f>
        <v>3833934.77178</v>
      </c>
    </row>
    <row r="29" spans="1:19" ht="12.75">
      <c r="A29" s="9"/>
      <c r="B29" s="2"/>
      <c r="C29" s="1" t="s">
        <v>113</v>
      </c>
      <c r="D29" s="111">
        <v>3515611.86</v>
      </c>
      <c r="E29" s="112">
        <f>D29/E8</f>
        <v>831231.8201163285</v>
      </c>
      <c r="F29" s="113">
        <f t="shared" si="0"/>
        <v>843746.8463999999</v>
      </c>
      <c r="G29" s="111">
        <f t="shared" si="1"/>
        <v>4359358.7064</v>
      </c>
      <c r="H29" s="114">
        <f t="shared" si="2"/>
        <v>1030727.4569442474</v>
      </c>
      <c r="J29" s="92">
        <v>0.03</v>
      </c>
      <c r="R29" s="111">
        <v>3271428.5</v>
      </c>
      <c r="S29" s="26">
        <f>R29*S13</f>
        <v>3356485.6410000003</v>
      </c>
    </row>
    <row r="30" spans="1:19" ht="12.75">
      <c r="A30" s="9"/>
      <c r="B30" s="2"/>
      <c r="C30" s="1" t="s">
        <v>1</v>
      </c>
      <c r="D30" s="111">
        <v>269150.64</v>
      </c>
      <c r="E30" s="112">
        <f>D30/E8</f>
        <v>63638.019577245</v>
      </c>
      <c r="F30" s="113">
        <f t="shared" si="0"/>
        <v>64596.1536</v>
      </c>
      <c r="G30" s="111">
        <f t="shared" si="1"/>
        <v>333746.79360000003</v>
      </c>
      <c r="H30" s="114">
        <f t="shared" si="2"/>
        <v>78911.14427578381</v>
      </c>
      <c r="J30" s="92"/>
      <c r="R30" s="111">
        <v>245760.86</v>
      </c>
      <c r="S30" s="26">
        <f>R30*S13</f>
        <v>252150.64236</v>
      </c>
    </row>
    <row r="31" spans="1:19" ht="12.75">
      <c r="A31" s="9"/>
      <c r="B31" s="2"/>
      <c r="C31" s="1" t="s">
        <v>177</v>
      </c>
      <c r="D31" s="111">
        <v>305298.49</v>
      </c>
      <c r="E31" s="112">
        <f>D31/E8</f>
        <v>72184.82290632241</v>
      </c>
      <c r="F31" s="113">
        <f t="shared" si="0"/>
        <v>73271.6376</v>
      </c>
      <c r="G31" s="111">
        <f t="shared" si="1"/>
        <v>378570.1276</v>
      </c>
      <c r="H31" s="114">
        <f t="shared" si="2"/>
        <v>89509.1804038398</v>
      </c>
      <c r="R31" s="111">
        <v>219589.17</v>
      </c>
      <c r="S31" s="26">
        <f>R31*S13</f>
        <v>225298.48842</v>
      </c>
    </row>
    <row r="32" spans="1:19" ht="13.5" customHeight="1">
      <c r="A32" s="9"/>
      <c r="B32" s="2">
        <v>5</v>
      </c>
      <c r="C32" s="1" t="s">
        <v>189</v>
      </c>
      <c r="D32" s="108">
        <f>SUM(D33:D33)</f>
        <v>12815.74</v>
      </c>
      <c r="E32" s="115">
        <f>SUM(E33)</f>
        <v>3030.1555776233035</v>
      </c>
      <c r="F32" s="109">
        <f t="shared" si="0"/>
        <v>3075.7776</v>
      </c>
      <c r="G32" s="108">
        <f t="shared" si="1"/>
        <v>15891.5176</v>
      </c>
      <c r="H32" s="110">
        <f t="shared" si="2"/>
        <v>3757.392916252896</v>
      </c>
      <c r="J32" s="92">
        <v>0.11</v>
      </c>
      <c r="R32" s="108">
        <f>SUM(R33:R33)</f>
        <v>12490.97</v>
      </c>
      <c r="S32" s="26">
        <f>R32*S13</f>
        <v>12815.73522</v>
      </c>
    </row>
    <row r="33" spans="1:19" ht="12.75">
      <c r="A33" s="9"/>
      <c r="B33" s="2"/>
      <c r="C33" s="1" t="s">
        <v>113</v>
      </c>
      <c r="D33" s="111">
        <v>12815.74</v>
      </c>
      <c r="E33" s="112">
        <f>D33/E8</f>
        <v>3030.1555776233035</v>
      </c>
      <c r="F33" s="113">
        <f t="shared" si="0"/>
        <v>3075.7776</v>
      </c>
      <c r="G33" s="111">
        <f t="shared" si="1"/>
        <v>15891.5176</v>
      </c>
      <c r="H33" s="114">
        <f t="shared" si="2"/>
        <v>3757.392916252896</v>
      </c>
      <c r="J33" s="92">
        <v>0.03</v>
      </c>
      <c r="R33" s="111">
        <v>12490.97</v>
      </c>
      <c r="S33" s="26">
        <f>R33*S13</f>
        <v>12815.73522</v>
      </c>
    </row>
    <row r="34" spans="1:19" ht="13.5" customHeight="1">
      <c r="A34" s="9"/>
      <c r="B34" s="2">
        <v>5</v>
      </c>
      <c r="C34" s="1" t="s">
        <v>190</v>
      </c>
      <c r="D34" s="108">
        <f>SUM(D35:D35)</f>
        <v>32484.25</v>
      </c>
      <c r="E34" s="115">
        <f>SUM(E35:E35)</f>
        <v>7680.581169905897</v>
      </c>
      <c r="F34" s="109">
        <f t="shared" si="0"/>
        <v>7796.219999999999</v>
      </c>
      <c r="G34" s="108">
        <f t="shared" si="1"/>
        <v>40280.47</v>
      </c>
      <c r="H34" s="110">
        <f t="shared" si="2"/>
        <v>9523.920650683312</v>
      </c>
      <c r="J34" s="92">
        <v>0.11</v>
      </c>
      <c r="R34" s="108">
        <f>SUM(R35:R35)</f>
        <v>31661.06</v>
      </c>
      <c r="S34" s="26">
        <f>R34*S13</f>
        <v>32484.247560000003</v>
      </c>
    </row>
    <row r="35" spans="1:19" ht="12.75">
      <c r="A35" s="9"/>
      <c r="B35" s="2"/>
      <c r="C35" s="1" t="s">
        <v>113</v>
      </c>
      <c r="D35" s="111">
        <v>32484.25</v>
      </c>
      <c r="E35" s="112">
        <f>D35/E8</f>
        <v>7680.581169905897</v>
      </c>
      <c r="F35" s="113">
        <f t="shared" si="0"/>
        <v>7796.219999999999</v>
      </c>
      <c r="G35" s="111">
        <f t="shared" si="1"/>
        <v>40280.47</v>
      </c>
      <c r="H35" s="114">
        <f t="shared" si="2"/>
        <v>9523.920650683312</v>
      </c>
      <c r="J35" s="92">
        <v>0.03</v>
      </c>
      <c r="R35" s="111">
        <v>31661.06</v>
      </c>
      <c r="S35" s="26">
        <f>R35*S13</f>
        <v>32484.247560000003</v>
      </c>
    </row>
    <row r="36" spans="1:10" ht="13.5" thickBot="1">
      <c r="A36" s="9"/>
      <c r="B36" s="2"/>
      <c r="C36" s="23" t="s">
        <v>109</v>
      </c>
      <c r="D36" s="130">
        <f>D14+D20+D24+D28+D32+D34</f>
        <v>11919950.99</v>
      </c>
      <c r="E36" s="131">
        <f>E14+E20+E24+E28+E32+E34</f>
        <v>2818355.083463376</v>
      </c>
      <c r="F36" s="109">
        <f t="shared" si="0"/>
        <v>2860788.2376</v>
      </c>
      <c r="G36" s="108">
        <f t="shared" si="1"/>
        <v>14780739.2276</v>
      </c>
      <c r="H36" s="110">
        <f t="shared" si="2"/>
        <v>3494760.303494586</v>
      </c>
      <c r="I36" s="28">
        <f>SUM(H36:H42)</f>
        <v>3607354.789710125</v>
      </c>
      <c r="J36" s="8"/>
    </row>
    <row r="37" spans="1:8" ht="12.75">
      <c r="A37" s="9"/>
      <c r="B37" s="4"/>
      <c r="C37" s="22" t="s">
        <v>8</v>
      </c>
      <c r="D37" s="105"/>
      <c r="E37" s="106"/>
      <c r="F37" s="105"/>
      <c r="G37" s="105"/>
      <c r="H37" s="107"/>
    </row>
    <row r="38" spans="1:8" ht="12.75">
      <c r="A38" s="9"/>
      <c r="B38" s="2"/>
      <c r="C38" s="1" t="s">
        <v>9</v>
      </c>
      <c r="D38" s="118">
        <f>E38*E8</f>
        <v>0</v>
      </c>
      <c r="E38" s="112">
        <v>0</v>
      </c>
      <c r="F38" s="113">
        <f>D38*0.19</f>
        <v>0</v>
      </c>
      <c r="G38" s="111">
        <f>D38*1.19</f>
        <v>0</v>
      </c>
      <c r="H38" s="114">
        <f>E38*1.19</f>
        <v>0</v>
      </c>
    </row>
    <row r="39" spans="1:8" ht="13.5" thickBot="1">
      <c r="A39" s="9"/>
      <c r="B39" s="2"/>
      <c r="C39" s="23" t="s">
        <v>110</v>
      </c>
      <c r="D39" s="116">
        <f>D38</f>
        <v>0</v>
      </c>
      <c r="E39" s="117">
        <f>E38</f>
        <v>0</v>
      </c>
      <c r="F39" s="113">
        <f>D39*0.19</f>
        <v>0</v>
      </c>
      <c r="G39" s="111">
        <f>D39*1.19</f>
        <v>0</v>
      </c>
      <c r="H39" s="114">
        <f>E39*1.19</f>
        <v>0</v>
      </c>
    </row>
    <row r="40" spans="1:8" ht="12.75">
      <c r="A40" s="9"/>
      <c r="B40" s="4"/>
      <c r="C40" s="22" t="s">
        <v>10</v>
      </c>
      <c r="D40" s="105"/>
      <c r="E40" s="106"/>
      <c r="F40" s="105"/>
      <c r="G40" s="105"/>
      <c r="H40" s="107"/>
    </row>
    <row r="41" spans="1:15" ht="12.75">
      <c r="A41" s="9"/>
      <c r="B41" s="2"/>
      <c r="C41" s="1" t="s">
        <v>11</v>
      </c>
      <c r="D41" s="111">
        <v>384038</v>
      </c>
      <c r="E41" s="112">
        <f>D41/E8</f>
        <v>90802.00501253133</v>
      </c>
      <c r="F41" s="113">
        <f>D41*0.24</f>
        <v>92169.12</v>
      </c>
      <c r="G41" s="111">
        <f aca="true" t="shared" si="3" ref="G41:H44">D41*1.24</f>
        <v>476207.12</v>
      </c>
      <c r="H41" s="114">
        <f t="shared" si="3"/>
        <v>112594.48621553884</v>
      </c>
      <c r="N41" t="s">
        <v>123</v>
      </c>
      <c r="O41" t="s">
        <v>124</v>
      </c>
    </row>
    <row r="42" spans="1:15" ht="12.75">
      <c r="A42" s="9"/>
      <c r="B42" s="2"/>
      <c r="C42" s="1" t="s">
        <v>12</v>
      </c>
      <c r="D42" s="111">
        <f>E42*E8</f>
        <v>0</v>
      </c>
      <c r="E42" s="112">
        <v>0</v>
      </c>
      <c r="F42" s="113">
        <f>D42*0.24</f>
        <v>0</v>
      </c>
      <c r="G42" s="111">
        <f t="shared" si="3"/>
        <v>0</v>
      </c>
      <c r="H42" s="114">
        <f t="shared" si="3"/>
        <v>0</v>
      </c>
      <c r="O42">
        <f>SUM(O43:O51)</f>
        <v>3700</v>
      </c>
    </row>
    <row r="43" spans="1:15" ht="12.75">
      <c r="A43" s="9"/>
      <c r="B43" s="2"/>
      <c r="C43" s="1" t="s">
        <v>3</v>
      </c>
      <c r="D43" s="111">
        <f>E43*E8</f>
        <v>0</v>
      </c>
      <c r="E43" s="112">
        <v>0</v>
      </c>
      <c r="F43" s="113">
        <f>D43*0.24</f>
        <v>0</v>
      </c>
      <c r="G43" s="111">
        <f t="shared" si="3"/>
        <v>0</v>
      </c>
      <c r="H43" s="114">
        <f t="shared" si="3"/>
        <v>0</v>
      </c>
      <c r="K43" t="s">
        <v>119</v>
      </c>
      <c r="L43" t="s">
        <v>120</v>
      </c>
      <c r="M43">
        <v>5</v>
      </c>
      <c r="N43">
        <v>300</v>
      </c>
      <c r="O43">
        <f>N43*M43</f>
        <v>1500</v>
      </c>
    </row>
    <row r="44" spans="1:15" ht="13.5" thickBot="1">
      <c r="A44" s="9"/>
      <c r="B44" s="72"/>
      <c r="C44" s="73" t="s">
        <v>111</v>
      </c>
      <c r="D44" s="119">
        <f>E44*E8</f>
        <v>384038</v>
      </c>
      <c r="E44" s="120">
        <f>E41+E42+E43</f>
        <v>90802.00501253133</v>
      </c>
      <c r="F44" s="121">
        <f>D44*0.24</f>
        <v>92169.12</v>
      </c>
      <c r="G44" s="119">
        <f t="shared" si="3"/>
        <v>476207.12</v>
      </c>
      <c r="H44" s="122">
        <f t="shared" si="3"/>
        <v>112594.48621553884</v>
      </c>
      <c r="L44" t="s">
        <v>121</v>
      </c>
      <c r="M44">
        <v>4</v>
      </c>
      <c r="N44">
        <v>400</v>
      </c>
      <c r="O44">
        <f>N44*M44</f>
        <v>1600</v>
      </c>
    </row>
    <row r="45" spans="1:15" ht="12.75">
      <c r="A45" s="91"/>
      <c r="B45" s="4"/>
      <c r="C45" s="5"/>
      <c r="D45" s="123"/>
      <c r="E45" s="124"/>
      <c r="F45" s="105"/>
      <c r="G45" s="105"/>
      <c r="H45" s="107"/>
      <c r="L45" t="s">
        <v>122</v>
      </c>
      <c r="M45">
        <v>2</v>
      </c>
      <c r="N45">
        <v>300</v>
      </c>
      <c r="O45">
        <f>N45*M45</f>
        <v>600</v>
      </c>
    </row>
    <row r="46" spans="1:8" ht="13.5" thickBot="1">
      <c r="A46" s="9"/>
      <c r="B46" s="3"/>
      <c r="C46" s="24" t="s">
        <v>13</v>
      </c>
      <c r="D46" s="125">
        <f>E46*E8</f>
        <v>12303988.990000002</v>
      </c>
      <c r="E46" s="126">
        <f>SUM(E36,E39,E44)</f>
        <v>2909157.088475907</v>
      </c>
      <c r="F46" s="127">
        <f>D46*0.24</f>
        <v>2952957.3576</v>
      </c>
      <c r="G46" s="128">
        <f>D46*1.24</f>
        <v>15256946.347600002</v>
      </c>
      <c r="H46" s="129">
        <f>E46*1.24</f>
        <v>3607354.789710125</v>
      </c>
    </row>
    <row r="47" spans="1:6" ht="12.75">
      <c r="A47" s="9"/>
      <c r="B47" s="88"/>
      <c r="C47" s="8"/>
      <c r="D47" s="8"/>
      <c r="E47" s="9"/>
      <c r="F47" s="9"/>
    </row>
    <row r="48" spans="1:6" ht="12.75">
      <c r="A48" s="9"/>
      <c r="B48" s="88"/>
      <c r="C48" s="8"/>
      <c r="D48" s="8"/>
      <c r="E48" s="9"/>
      <c r="F48" s="9"/>
    </row>
    <row r="49" spans="1:7" ht="12.75">
      <c r="A49" s="9"/>
      <c r="B49" s="88"/>
      <c r="C49" s="8"/>
      <c r="D49" s="8"/>
      <c r="E49" s="9"/>
      <c r="F49" s="9"/>
      <c r="G49" s="26">
        <f>'deviz general'!M80</f>
        <v>19798029.65</v>
      </c>
    </row>
    <row r="50" spans="1:8" ht="12.75">
      <c r="A50" s="9"/>
      <c r="B50" s="88"/>
      <c r="C50" s="8"/>
      <c r="D50" s="8"/>
      <c r="E50" s="9"/>
      <c r="F50" s="9"/>
      <c r="G50" s="26">
        <f>'deviz general'!H80</f>
        <v>19798029.6543268</v>
      </c>
      <c r="H50" s="26"/>
    </row>
    <row r="51" spans="1:8" ht="12.75">
      <c r="A51" s="9"/>
      <c r="B51" s="88"/>
      <c r="C51" s="8"/>
      <c r="D51" s="8"/>
      <c r="E51" s="9"/>
      <c r="F51" s="9"/>
      <c r="H51" s="26"/>
    </row>
    <row r="52" spans="1:6" ht="12.75">
      <c r="A52" s="9"/>
      <c r="B52" s="88"/>
      <c r="C52" s="86"/>
      <c r="D52" s="10"/>
      <c r="E52" s="10"/>
      <c r="F52" s="9"/>
    </row>
    <row r="53" spans="4:5" ht="12.75">
      <c r="D53" s="10"/>
      <c r="E53" s="10"/>
    </row>
    <row r="54" spans="4:5" ht="12.75">
      <c r="D54" s="10"/>
      <c r="E54" s="10"/>
    </row>
    <row r="55" spans="4:5" ht="12.75">
      <c r="D55" s="10"/>
      <c r="E55" s="10"/>
    </row>
    <row r="56" spans="4:5" ht="12.75">
      <c r="D56" s="10"/>
      <c r="E56" s="10"/>
    </row>
    <row r="57" spans="4:5" ht="12.75">
      <c r="D57" s="10"/>
      <c r="E57" s="10"/>
    </row>
    <row r="58" spans="4:5" ht="12.75">
      <c r="D58" s="10"/>
      <c r="E58" s="10"/>
    </row>
    <row r="59" spans="4:5" ht="12.75">
      <c r="D59" s="10"/>
      <c r="E59" s="10"/>
    </row>
    <row r="60" spans="4:5" ht="12.75">
      <c r="D60" s="10"/>
      <c r="E60" s="10"/>
    </row>
    <row r="61" spans="4:5" ht="12.75">
      <c r="D61" s="10"/>
      <c r="E61" s="10"/>
    </row>
    <row r="62" spans="4:5" ht="12.75">
      <c r="D62" s="10"/>
      <c r="E62" s="10"/>
    </row>
    <row r="63" spans="4:5" ht="12.75">
      <c r="D63" s="10"/>
      <c r="E63" s="10"/>
    </row>
  </sheetData>
  <sheetProtection/>
  <mergeCells count="4">
    <mergeCell ref="G9:H9"/>
    <mergeCell ref="H10:H11"/>
    <mergeCell ref="C9:C11"/>
    <mergeCell ref="D9:E9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5:R15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14.8515625" style="0" bestFit="1" customWidth="1"/>
    <col min="2" max="2" width="28.00390625" style="0" bestFit="1" customWidth="1"/>
    <col min="3" max="3" width="9.57421875" style="0" bestFit="1" customWidth="1"/>
    <col min="15" max="15" width="12.421875" style="10" bestFit="1" customWidth="1"/>
  </cols>
  <sheetData>
    <row r="5" spans="2:8" ht="12.75">
      <c r="B5" s="262" t="s">
        <v>163</v>
      </c>
      <c r="C5" s="262"/>
      <c r="D5" s="262"/>
      <c r="E5" s="262"/>
      <c r="F5" s="262"/>
      <c r="G5" s="262"/>
      <c r="H5" s="262"/>
    </row>
    <row r="6" ht="13.5" thickBot="1"/>
    <row r="7" spans="2:15" ht="12.75">
      <c r="B7" s="97" t="s">
        <v>162</v>
      </c>
      <c r="C7" s="98" t="s">
        <v>161</v>
      </c>
      <c r="D7" s="98" t="s">
        <v>160</v>
      </c>
      <c r="E7" s="98" t="s">
        <v>159</v>
      </c>
      <c r="F7" s="98" t="s">
        <v>158</v>
      </c>
      <c r="G7" s="98" t="s">
        <v>157</v>
      </c>
      <c r="H7" s="98" t="s">
        <v>156</v>
      </c>
      <c r="I7" s="98" t="s">
        <v>155</v>
      </c>
      <c r="J7" s="98" t="s">
        <v>154</v>
      </c>
      <c r="K7" s="98" t="s">
        <v>153</v>
      </c>
      <c r="L7" s="98" t="s">
        <v>152</v>
      </c>
      <c r="M7" s="98" t="s">
        <v>151</v>
      </c>
      <c r="N7" s="98" t="s">
        <v>150</v>
      </c>
      <c r="O7" s="99" t="s">
        <v>167</v>
      </c>
    </row>
    <row r="8" spans="2:15" ht="12.75">
      <c r="B8" s="100" t="s">
        <v>149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101"/>
    </row>
    <row r="9" spans="2:15" ht="12.75">
      <c r="B9" s="2" t="s">
        <v>148</v>
      </c>
      <c r="C9" s="95">
        <f>O9*0.4</f>
        <v>348142.20284000004</v>
      </c>
      <c r="D9" s="95">
        <f>O9*0.3</f>
        <v>261106.65213</v>
      </c>
      <c r="E9" s="95">
        <f>O9*0.3</f>
        <v>261106.65213</v>
      </c>
      <c r="F9" s="95"/>
      <c r="G9" s="95"/>
      <c r="H9" s="95"/>
      <c r="I9" s="95"/>
      <c r="J9" s="95"/>
      <c r="K9" s="95"/>
      <c r="L9" s="95"/>
      <c r="M9" s="95"/>
      <c r="N9" s="95"/>
      <c r="O9" s="102">
        <f>'07-CLADIRE'!G24*25%</f>
        <v>870355.5071</v>
      </c>
    </row>
    <row r="10" spans="2:15" ht="12.75">
      <c r="B10" s="2" t="s">
        <v>164</v>
      </c>
      <c r="C10" s="95"/>
      <c r="D10" s="95"/>
      <c r="E10" s="95"/>
      <c r="F10" s="95">
        <f>O10*0.25</f>
        <v>348142.20284000004</v>
      </c>
      <c r="G10" s="95">
        <f>O10*0.25</f>
        <v>348142.20284000004</v>
      </c>
      <c r="H10" s="95">
        <f>O10*0.25</f>
        <v>348142.20284000004</v>
      </c>
      <c r="I10" s="95">
        <f>O10*0.25</f>
        <v>348142.20284000004</v>
      </c>
      <c r="J10" s="95"/>
      <c r="K10" s="95"/>
      <c r="L10" s="95"/>
      <c r="M10" s="95"/>
      <c r="N10" s="95"/>
      <c r="O10" s="102">
        <f>'07-CLADIRE'!G24*40%</f>
        <v>1392568.8113600002</v>
      </c>
    </row>
    <row r="11" spans="2:15" ht="12.75">
      <c r="B11" s="2" t="s">
        <v>147</v>
      </c>
      <c r="C11" s="95"/>
      <c r="D11" s="95"/>
      <c r="E11" s="95"/>
      <c r="F11" s="95"/>
      <c r="G11" s="95"/>
      <c r="H11" s="95"/>
      <c r="I11" s="95"/>
      <c r="J11" s="95">
        <f>O11*0.2</f>
        <v>243699.541988</v>
      </c>
      <c r="K11" s="95">
        <f>O11*0.2</f>
        <v>243699.541988</v>
      </c>
      <c r="L11" s="95">
        <f>O11*0.2</f>
        <v>243699.541988</v>
      </c>
      <c r="M11" s="95">
        <f>O11*0.2</f>
        <v>243699.541988</v>
      </c>
      <c r="N11" s="95">
        <f>O11*0.2</f>
        <v>243699.541988</v>
      </c>
      <c r="O11" s="102">
        <f>'07-CLADIRE'!G24*35%+'07-CLADIRE'!G43</f>
        <v>1218497.70994</v>
      </c>
    </row>
    <row r="12" spans="2:15" ht="12.75">
      <c r="B12" s="2" t="s">
        <v>165</v>
      </c>
      <c r="C12" s="95"/>
      <c r="D12" s="95"/>
      <c r="E12" s="95"/>
      <c r="F12" s="95"/>
      <c r="G12" s="95"/>
      <c r="H12" s="95"/>
      <c r="I12" s="95">
        <f>O12*0.3</f>
        <v>1068594.8905200001</v>
      </c>
      <c r="J12" s="95">
        <f>O12*0.3</f>
        <v>1068594.8905200001</v>
      </c>
      <c r="K12" s="95">
        <f>O12*0.4</f>
        <v>1424793.1873600003</v>
      </c>
      <c r="L12" s="95"/>
      <c r="M12" s="95"/>
      <c r="N12" s="95"/>
      <c r="O12" s="102">
        <f>'07-CLADIRE'!G25+'07-CLADIRE'!G26+'07-CLADIRE'!G27+'07-CLADIRE'!G34+'07-CLADIRE'!G35+'07-CLADIRE'!G38</f>
        <v>3561982.9684000006</v>
      </c>
    </row>
    <row r="13" spans="2:15" ht="12.75">
      <c r="B13" s="2" t="s">
        <v>166</v>
      </c>
      <c r="C13" s="95"/>
      <c r="D13" s="95"/>
      <c r="E13" s="95">
        <f>O13*0.1</f>
        <v>318711.558</v>
      </c>
      <c r="F13" s="95">
        <f>O13*0.1</f>
        <v>318711.558</v>
      </c>
      <c r="G13" s="95">
        <f>O13*0.1</f>
        <v>318711.558</v>
      </c>
      <c r="H13" s="95">
        <f>O13*0.1</f>
        <v>318711.558</v>
      </c>
      <c r="I13" s="95">
        <f>O13*0.1</f>
        <v>318711.558</v>
      </c>
      <c r="J13" s="95">
        <f>O13*0.1</f>
        <v>318711.558</v>
      </c>
      <c r="K13" s="95">
        <f>O13*0.1</f>
        <v>318711.558</v>
      </c>
      <c r="L13" s="95">
        <f>O13*0.1</f>
        <v>318711.558</v>
      </c>
      <c r="M13" s="95">
        <f>O13*0.1</f>
        <v>318711.558</v>
      </c>
      <c r="N13" s="95">
        <f>O13*0.1</f>
        <v>318711.558</v>
      </c>
      <c r="O13" s="102">
        <f>'deviz general'!H23+'deviz general'!H35</f>
        <v>3187115.58</v>
      </c>
    </row>
    <row r="14" spans="2:15" ht="12.75">
      <c r="B14" s="2" t="s">
        <v>168</v>
      </c>
      <c r="C14" s="96">
        <f>O14</f>
        <v>1353967.7267268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102">
        <f>'deviz general'!H44+'deviz general'!H66</f>
        <v>1353967.7267268</v>
      </c>
    </row>
    <row r="15" spans="2:18" ht="13.5" thickBot="1">
      <c r="B15" s="3" t="s">
        <v>124</v>
      </c>
      <c r="C15" s="103">
        <f>SUM(C9:C14)</f>
        <v>1702109.9295668001</v>
      </c>
      <c r="D15" s="103">
        <f aca="true" t="shared" si="0" ref="D15:N15">SUM(D9:D14)</f>
        <v>261106.65213</v>
      </c>
      <c r="E15" s="103">
        <f t="shared" si="0"/>
        <v>579818.21013</v>
      </c>
      <c r="F15" s="103">
        <f t="shared" si="0"/>
        <v>666853.7608400001</v>
      </c>
      <c r="G15" s="103">
        <f t="shared" si="0"/>
        <v>666853.7608400001</v>
      </c>
      <c r="H15" s="103">
        <f t="shared" si="0"/>
        <v>666853.7608400001</v>
      </c>
      <c r="I15" s="103">
        <f t="shared" si="0"/>
        <v>1735448.6513600003</v>
      </c>
      <c r="J15" s="103">
        <f t="shared" si="0"/>
        <v>1631005.9905080001</v>
      </c>
      <c r="K15" s="103">
        <f t="shared" si="0"/>
        <v>1987204.2873480003</v>
      </c>
      <c r="L15" s="103">
        <f t="shared" si="0"/>
        <v>562411.099988</v>
      </c>
      <c r="M15" s="103">
        <f t="shared" si="0"/>
        <v>562411.099988</v>
      </c>
      <c r="N15" s="103">
        <f t="shared" si="0"/>
        <v>562411.099988</v>
      </c>
      <c r="O15" s="104">
        <f>SUM(O9:O14)</f>
        <v>11584488.3035268</v>
      </c>
      <c r="R15">
        <f>SUM(C15:N15)</f>
        <v>11584488.303526804</v>
      </c>
    </row>
  </sheetData>
  <sheetProtection/>
  <mergeCells count="1">
    <mergeCell ref="B5:H5"/>
  </mergeCells>
  <printOptions/>
  <pageMargins left="0.75" right="0.75" top="1" bottom="1" header="0.5" footer="0.5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Stoica</dc:creator>
  <cp:keywords/>
  <dc:description/>
  <cp:lastModifiedBy>Adi</cp:lastModifiedBy>
  <cp:lastPrinted>2010-02-18T09:48:31Z</cp:lastPrinted>
  <dcterms:created xsi:type="dcterms:W3CDTF">2004-12-15T07:39:09Z</dcterms:created>
  <dcterms:modified xsi:type="dcterms:W3CDTF">2011-07-26T04:17:53Z</dcterms:modified>
  <cp:category/>
  <cp:version/>
  <cp:contentType/>
  <cp:contentStatus/>
</cp:coreProperties>
</file>